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ation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Scenarios" sheetId="3" state="visible" r:id="rId3"/>
    <sheet xmlns:r="http://schemas.openxmlformats.org/officeDocument/2006/relationships" name="Model" sheetId="4" state="visible" r:id="rId4"/>
    <sheet xmlns:r="http://schemas.openxmlformats.org/officeDocument/2006/relationships" name="Conviction" sheetId="5" state="visible" r:id="rId5"/>
    <sheet xmlns:r="http://schemas.openxmlformats.org/officeDocument/2006/relationships" name="Histo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$#,##0.00"/>
    <numFmt numFmtId="165" formatCode="#,##0.0;(#,##0.0);&quot;-&quot;"/>
    <numFmt numFmtId="166" formatCode="$#,##0.00;($#,##0.00);&quot;-&quot;"/>
    <numFmt numFmtId="167" formatCode="0.0%;(0.0%);&quot;-&quot;"/>
    <numFmt numFmtId="168" formatCode="0.000"/>
    <numFmt numFmtId="169" formatCode="0.0&quot;x&quot;"/>
    <numFmt numFmtId="170" formatCode="0.00&quot;x&quot;"/>
    <numFmt numFmtId="171" formatCode="#,##0.0"/>
  </numFmts>
  <fonts count="8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color rgb="00555555"/>
      <sz val="10"/>
    </font>
    <font>
      <name val="Arial"/>
      <b val="1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008000"/>
      <sz val="10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F00"/>
      </patternFill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top style="thin">
        <color rgb="00BFBFBF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4" borderId="0" applyAlignment="1" pivotButton="0" quotePrefix="0" xfId="0">
      <alignment horizontal="left"/>
    </xf>
    <xf numFmtId="0" fontId="6" fillId="4" borderId="0" applyAlignment="1" pivotButton="0" quotePrefix="0" xfId="0">
      <alignment horizontal="center"/>
    </xf>
    <xf numFmtId="0" fontId="4" fillId="0" borderId="0" pivotButton="0" quotePrefix="0" xfId="0"/>
    <xf numFmtId="167" fontId="7" fillId="0" borderId="0" pivotButton="0" quotePrefix="0" xfId="0"/>
    <xf numFmtId="164" fontId="7" fillId="0" borderId="0" pivotButton="0" quotePrefix="0" xfId="0"/>
    <xf numFmtId="167" fontId="4" fillId="0" borderId="0" pivotButton="0" quotePrefix="0" xfId="0"/>
    <xf numFmtId="3" fontId="7" fillId="0" borderId="0" pivotButton="0" quotePrefix="0" xfId="0"/>
    <xf numFmtId="164" fontId="4" fillId="0" borderId="0" pivotButton="0" quotePrefix="0" xfId="0"/>
    <xf numFmtId="0" fontId="3" fillId="0" borderId="0" pivotButton="0" quotePrefix="0" xfId="0"/>
    <xf numFmtId="164" fontId="4" fillId="3" borderId="0" pivotButton="0" quotePrefix="0" xfId="0"/>
    <xf numFmtId="0" fontId="7" fillId="3" borderId="0" pivotButton="0" quotePrefix="0" xfId="0"/>
    <xf numFmtId="169" fontId="6" fillId="4" borderId="0" applyAlignment="1" pivotButton="0" quotePrefix="0" xfId="0">
      <alignment horizontal="center"/>
    </xf>
    <xf numFmtId="167" fontId="5" fillId="0" borderId="0" pivotButton="0" quotePrefix="0" xfId="0"/>
    <xf numFmtId="169" fontId="5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5" fillId="0" borderId="0" pivotButton="0" quotePrefix="0" xfId="0"/>
    <xf numFmtId="3" fontId="5" fillId="0" borderId="0" pivotButton="0" quotePrefix="0" xfId="0"/>
    <xf numFmtId="165" fontId="5" fillId="0" borderId="0" pivotButton="0" quotePrefix="0" xfId="0"/>
    <xf numFmtId="166" fontId="5" fillId="0" borderId="0" pivotButton="0" quotePrefix="0" xfId="0"/>
    <xf numFmtId="166" fontId="4" fillId="0" borderId="0" pivotButton="0" quotePrefix="0" xfId="0"/>
    <xf numFmtId="2" fontId="5" fillId="0" borderId="0" pivotButton="0" quotePrefix="0" xfId="0"/>
    <xf numFmtId="168" fontId="5" fillId="3" borderId="0" pivotButton="0" quotePrefix="0" xfId="0"/>
    <xf numFmtId="2" fontId="4" fillId="0" borderId="0" pivotButton="0" quotePrefix="0" xfId="0"/>
    <xf numFmtId="167" fontId="4" fillId="3" borderId="0" pivotButton="0" quotePrefix="0" xfId="0"/>
    <xf numFmtId="169" fontId="5" fillId="3" borderId="0" pivotButton="0" quotePrefix="0" xfId="0"/>
    <xf numFmtId="170" fontId="5" fillId="0" borderId="0" pivotButton="0" quotePrefix="0" xfId="0"/>
    <xf numFmtId="167" fontId="5" fillId="3" borderId="0" pivotButton="0" quotePrefix="0" xfId="0"/>
    <xf numFmtId="1" fontId="5" fillId="0" borderId="0" pivotButton="0" quotePrefix="0" xfId="0"/>
    <xf numFmtId="171" fontId="4" fillId="0" borderId="0" pivotButton="0" quotePrefix="0" xfId="0"/>
    <xf numFmtId="165" fontId="7" fillId="0" borderId="0" pivotButton="0" quotePrefix="0" xfId="0"/>
    <xf numFmtId="166" fontId="7" fillId="0" borderId="0" pivotButton="0" quotePrefix="0" xfId="0"/>
    <xf numFmtId="168" fontId="4" fillId="0" borderId="0" pivotButton="0" quotePrefix="0" xfId="0"/>
    <xf numFmtId="0" fontId="3" fillId="0" borderId="1" pivotButton="0" quotePrefix="0" xfId="0"/>
    <xf numFmtId="166" fontId="4" fillId="0" borderId="1" pivotButton="0" quotePrefix="0" xfId="0"/>
    <xf numFmtId="164" fontId="4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Phat Ngo</author>
  </authors>
  <commentList>
    <comment ref="C4" authorId="0" shapeId="0">
      <text>
        <t>Source: Yahoo Finance via the site price feed, official close 2026-10-16. Update to today's price.</t>
      </text>
    </comment>
    <comment ref="C5" authorId="0" shapeId="0">
      <text>
        <t>Source: AMD Q2 2026 earnings slides (8-K, 2026-08-04), slide 25: 1,636mm basic + 25mm employee equity.</t>
      </text>
    </comment>
    <comment ref="C6" authorId="0" shapeId="0">
      <text>
        <t>Source: 8-K Item 3.02 (2026-09-28): ~$8.2bn in stock at a 10-day VWAP before closing. Estimate at ~$560.</t>
      </text>
    </comment>
    <comment ref="C7" authorId="0" shapeId="0">
      <text>
        <t>Source: Q2 2026 earnings release, $13.111bn at 2026-06-27.</t>
      </text>
    </comment>
    <comment ref="C8" authorId="0" shapeId="0">
      <text>
        <t>Source: Q2 2026 10-Q Note 9, $3.226bn at 2026-06-27. The Aug 2026 $4.75bn notes add equal cash and debt (no net effect).</t>
      </text>
    </comment>
    <comment ref="C11" authorId="0" shapeId="0">
      <text>
        <t>Author estimate. H1 2026 free cash flow was $4.124bn before SBC (Q2 2026 release).</t>
      </text>
    </comment>
    <comment ref="C12" authorId="0" shapeId="0">
      <text>
        <t>2026-10-16</t>
      </text>
    </comment>
    <comment ref="C13" authorId="0" shapeId="0">
      <text>
        <t>Author estimate (consensus $50.95bn, StockAnalysis 2026-10-15). Used for 2027 working-capital change.</t>
      </text>
    </comment>
    <comment ref="C15" authorId="0" shapeId="0">
      <text>
        <t>US 10-year Treasury, ~5.2% mid-October 2026 (site Markets page); same input as the Rivian report.</t>
      </text>
    </comment>
    <comment ref="C16" authorId="0" shapeId="0">
      <text>
        <t>Measured: two-year daily AMD vs SPY returns, 501 observations to 2026-10-16 (Yahoo via the site feed). 5-year beta 2.45 per StockAnalysis.</t>
      </text>
    </comment>
    <comment ref="C17" authorId="0" shapeId="0">
      <text>
        <t>Blume adjustment (2/3 raw, 1/3 market) because betas drift toward 1 over a 10-year forecast; the raw-beta result is shown on the Valuation sheet.</t>
      </text>
    </comment>
    <comment ref="C19" authorId="0" shapeId="0">
      <text>
        <t>Author assumption, in line with commonly used implied ERP estimates of 4.5-5.5%.</t>
      </text>
    </comment>
    <comment ref="C21" authorId="0" shapeId="0">
      <text>
        <t>New notes Aug 2026: 4.60-5.50% coupons (8-K 2026-08-17); 5.0% pre-tax, 15% tax.</t>
      </text>
    </comment>
    <comment ref="C22" authorId="0" shapeId="0">
      <text>
        <t>Adds the $4.75bn Aug 2026 notes and assumes the $0.875bn 2026 notes are repaid.</t>
      </text>
    </comment>
    <comment ref="C27" authorId="0" shapeId="0">
      <text>
        <t>Author judgment: mature large-cap semis trade at ~16x TTM EBITDA (QCOM 16.2x, TSM 16.2x; StockAnalysis 2026-10-16). Tested 12-24x.</t>
      </text>
    </comment>
    <comment ref="C29" authorId="0" shapeId="0">
      <text>
        <t>Pillar Two 15% minimum; AMD non-GAAP rate 13% (FY2026).</t>
      </text>
    </comment>
    <comment ref="C31" authorId="0" shapeId="0">
      <text>
        <t>Q2 2026 receivables + inventory - payables = $10.4bn, ~23% of annualized revenue (10-Q). 15% on increments.</t>
      </text>
    </comment>
    <comment ref="C33" authorId="0" shapeId="0">
      <text>
        <t>OpenAI (8-K 2025-10-06) and Meta (10-Q Note 12): up to 160mm shares each at $0.01.</t>
      </text>
    </comment>
    <comment ref="C34" authorId="0" shapeId="0">
      <text>
        <t>Full vesting at 6 GW of Instinct purchases; first tranche at the first 1 GW. Pro rata per GW assumed (schedule redacted).</t>
      </text>
    </comment>
    <comment ref="C35" authorId="0" shapeId="0">
      <text>
        <t>First 1 GW MI450 from 2H 2026 (8-K). Author estimate of 2026 deliveries.</t>
      </text>
    </comment>
    <comment ref="C36" authorId="0" shapeId="0">
      <text>
        <t>First 1 GW from 2H 2026 (AMD/Meta release 2026-02-24). Author estimate.</t>
      </text>
    </comment>
    <comment ref="C38" authorId="0" shapeId="0">
      <text>
        <t>Author judgment.</t>
      </text>
    </comment>
    <comment ref="C39" authorId="0" shapeId="0">
      <text>
        <t>Author judgment.</t>
      </text>
    </comment>
    <comment ref="C40" authorId="0" shapeId="0">
      <text>
        <t>Author judgment, capped at 35%.</t>
      </text>
    </comment>
    <comment ref="C42" authorId="0" shapeId="0">
      <text>
        <t>report-kit longRating uses the longest horizon (the conservative reading).</t>
      </text>
    </comment>
    <comment ref="C43" authorId="0" shapeId="0">
      <text>
        <t>report-kit default: 2 points a year.</t>
      </text>
    </comment>
  </commentList>
</comments>
</file>

<file path=xl/comments/comment2.xml><?xml version="1.0" encoding="utf-8"?>
<comments xmlns="http://schemas.openxmlformats.org/spreadsheetml/2006/main">
  <authors>
    <author>Phat Ngo</author>
  </authors>
  <commentList>
    <comment ref="C4" authorId="0" shapeId="0">
      <text>
        <t>Author conviction: beta about 1.36 (between the measured 2.31 and 1.0) as AMD matures; the model uses 14.5%.</t>
      </text>
    </comment>
    <comment ref="C5" authorId="0" shapeId="0">
      <text>
        <t>Author conviction: between QCOM/TSM (16x) and Broadcom (31x) TTM EV/EBITDA, StockAnalysis 2026-10-16; the model uses 16x.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Advanced Micro Devices (AMD), valuation summary</t>
        </is>
      </c>
    </row>
    <row r="2">
      <c r="A2" s="2" t="inlineStr">
        <is>
          <t>Phat Ngo · initiation · prices as of 2026-10-16 · personal research, not investment advice</t>
        </is>
      </c>
    </row>
    <row r="4">
      <c r="A4" s="3" t="inlineStr">
        <is>
          <t>Scenario</t>
        </is>
      </c>
      <c r="B4" s="4" t="inlineStr">
        <is>
          <t>Probability</t>
        </is>
      </c>
      <c r="C4" s="4" t="inlineStr">
        <is>
          <t>Value / share</t>
        </is>
      </c>
      <c r="D4" s="4" t="inlineStr">
        <is>
          <t>vs price</t>
        </is>
      </c>
      <c r="E4" s="4" t="inlineStr">
        <is>
          <t>Shares (mm)</t>
        </is>
      </c>
      <c r="F4" s="4" t="inlineStr">
        <is>
          <t>Value / share ex warrants</t>
        </is>
      </c>
    </row>
    <row r="5">
      <c r="A5" s="5" t="inlineStr">
        <is>
          <t>Bear</t>
        </is>
      </c>
      <c r="B5" s="6">
        <f>Inputs!$C$38</f>
        <v/>
      </c>
      <c r="C5" s="7">
        <f>Model!$C$40</f>
        <v/>
      </c>
      <c r="D5" s="8">
        <f>C5/Inputs!$C$4-1</f>
        <v/>
      </c>
      <c r="E5" s="9">
        <f>Scenarios!$B$21</f>
        <v/>
      </c>
      <c r="F5" s="10">
        <f>Model!$C$37*1000/(Inputs!$C$5+Inputs!$C$6)</f>
        <v/>
      </c>
    </row>
    <row r="6">
      <c r="A6" s="5" t="inlineStr">
        <is>
          <t>Base</t>
        </is>
      </c>
      <c r="B6" s="6">
        <f>Inputs!$C$39</f>
        <v/>
      </c>
      <c r="C6" s="7">
        <f>Model!$C$81</f>
        <v/>
      </c>
      <c r="D6" s="8">
        <f>C6/Inputs!$C$4-1</f>
        <v/>
      </c>
      <c r="E6" s="9">
        <f>Scenarios!$B$41</f>
        <v/>
      </c>
      <c r="F6" s="10">
        <f>Model!$C$78*1000/(Inputs!$C$5+Inputs!$C$6)</f>
        <v/>
      </c>
    </row>
    <row r="7">
      <c r="A7" s="5" t="inlineStr">
        <is>
          <t>Bull</t>
        </is>
      </c>
      <c r="B7" s="6">
        <f>Inputs!$C$40</f>
        <v/>
      </c>
      <c r="C7" s="7">
        <f>Model!$C$122</f>
        <v/>
      </c>
      <c r="D7" s="8">
        <f>C7/Inputs!$C$4-1</f>
        <v/>
      </c>
      <c r="E7" s="9">
        <f>Scenarios!$B$61</f>
        <v/>
      </c>
      <c r="F7" s="10">
        <f>Model!$C$119*1000/(Inputs!$C$5+Inputs!$C$6)</f>
        <v/>
      </c>
    </row>
    <row r="9">
      <c r="A9" s="11" t="inlineStr">
        <is>
          <t>Probability-weighted fair value ($)</t>
        </is>
      </c>
      <c r="C9" s="12">
        <f>SUMPRODUCT(B5:B7,C5:C7)</f>
        <v/>
      </c>
    </row>
    <row r="10">
      <c r="A10" s="5" t="inlineStr">
        <is>
          <t>Current price ($)</t>
        </is>
      </c>
      <c r="C10" s="7">
        <f>Inputs!$C$4</f>
        <v/>
      </c>
    </row>
    <row r="11">
      <c r="A11" s="5" t="inlineStr">
        <is>
          <t>Total return to fair value</t>
        </is>
      </c>
      <c r="C11" s="8">
        <f>C9/C10-1</f>
        <v/>
      </c>
    </row>
    <row r="12">
      <c r="A12" s="5" t="inlineStr">
        <is>
          <t>Hurdle: cost of equity</t>
        </is>
      </c>
      <c r="C12" s="6">
        <f>Inputs!$C$20</f>
        <v/>
      </c>
    </row>
    <row r="13">
      <c r="A13" s="5" t="inlineStr">
        <is>
          <t>Expected annual return, 5-year convergence</t>
        </is>
      </c>
      <c r="C13" s="6">
        <f>(C9/C10)^(1/Inputs!$C$42)*(1+C12)-1</f>
        <v/>
      </c>
    </row>
    <row r="14">
      <c r="A14" s="11" t="inlineStr">
        <is>
          <t>Call (report-kit longRating, 3-5 year view)</t>
        </is>
      </c>
      <c r="C14" s="13">
        <f>IF(((C9/C10)^(1/Inputs!$C$42)*(1+C12)-1-C12)&gt;=Inputs!$C$43,"Bullish",IF(((C9/C10)^(1/Inputs!$C$42)*(1+C12)-1-C12)&lt;=-Inputs!$C$43,"Bearish","Neutral"))</f>
        <v/>
      </c>
    </row>
    <row r="15">
      <c r="A15" s="5" t="inlineStr">
        <is>
          <t>Price below which the rule reads Bullish ($)</t>
        </is>
      </c>
      <c r="C15" s="7">
        <f>C9/((1+C12+Inputs!$C$43)/(1+C12))^Inputs!$C$42</f>
        <v/>
      </c>
    </row>
    <row r="16">
      <c r="A16" s="5" t="inlineStr">
        <is>
          <t>Price above which the rule reads Bearish ($)</t>
        </is>
      </c>
      <c r="C16" s="7">
        <f>C9/((1+C12-Inputs!$C$43)/(1+C12))^Inputs!$C$42</f>
        <v/>
      </c>
    </row>
    <row r="17">
      <c r="A17" s="5" t="inlineStr">
        <is>
          <t>Weights sum check (must be 100%)</t>
        </is>
      </c>
      <c r="C17" s="8">
        <f>SUM(B5:B7)</f>
        <v/>
      </c>
    </row>
    <row r="18">
      <c r="A18" s="5" t="inlineStr">
        <is>
          <t>Probability-weighted value ex warrants ($)</t>
        </is>
      </c>
      <c r="C18" s="10">
        <f>SUMPRODUCT(B5:B7,F5:F7)</f>
        <v/>
      </c>
    </row>
    <row r="20">
      <c r="A20" s="11" t="inlineStr">
        <is>
          <t>Base case: value per share by WACC (rows) and 2035 EV/EBITDA exit multiple (columns)</t>
        </is>
      </c>
    </row>
    <row r="21">
      <c r="A21" s="3" t="inlineStr">
        <is>
          <t>WACC \ exit multiple</t>
        </is>
      </c>
      <c r="B21" s="14" t="n">
        <v>12</v>
      </c>
      <c r="C21" s="14" t="n">
        <v>14</v>
      </c>
      <c r="D21" s="14" t="n">
        <v>16</v>
      </c>
      <c r="E21" s="14" t="n">
        <v>18</v>
      </c>
      <c r="F21" s="14" t="n">
        <v>20</v>
      </c>
      <c r="G21" s="14" t="n">
        <v>24</v>
      </c>
    </row>
    <row r="22">
      <c r="A22" s="15" t="n">
        <v>0.105</v>
      </c>
      <c r="B22" s="10">
        <f>MAX(0,(SUMPRODUCT(Model!$C$67:$K$67,(1+$A22)^(-Model!$C$68:$K$68))+Inputs!$C$11+Model!$K$63*B$21*(1+$A22)^(-(Model!$K$68+0.5))+Inputs!$C$9)*1000/Scenarios!$B$41)</f>
        <v/>
      </c>
      <c r="C22" s="10">
        <f>MAX(0,(SUMPRODUCT(Model!$C$67:$K$67,(1+$A22)^(-Model!$C$68:$K$68))+Inputs!$C$11+Model!$K$63*C$21*(1+$A22)^(-(Model!$K$68+0.5))+Inputs!$C$9)*1000/Scenarios!$B$41)</f>
        <v/>
      </c>
      <c r="D22" s="10">
        <f>MAX(0,(SUMPRODUCT(Model!$C$67:$K$67,(1+$A22)^(-Model!$C$68:$K$68))+Inputs!$C$11+Model!$K$63*D$21*(1+$A22)^(-(Model!$K$68+0.5))+Inputs!$C$9)*1000/Scenarios!$B$41)</f>
        <v/>
      </c>
      <c r="E22" s="10">
        <f>MAX(0,(SUMPRODUCT(Model!$C$67:$K$67,(1+$A22)^(-Model!$C$68:$K$68))+Inputs!$C$11+Model!$K$63*E$21*(1+$A22)^(-(Model!$K$68+0.5))+Inputs!$C$9)*1000/Scenarios!$B$41)</f>
        <v/>
      </c>
      <c r="F22" s="10">
        <f>MAX(0,(SUMPRODUCT(Model!$C$67:$K$67,(1+$A22)^(-Model!$C$68:$K$68))+Inputs!$C$11+Model!$K$63*F$21*(1+$A22)^(-(Model!$K$68+0.5))+Inputs!$C$9)*1000/Scenarios!$B$41)</f>
        <v/>
      </c>
      <c r="G22" s="10">
        <f>MAX(0,(SUMPRODUCT(Model!$C$67:$K$67,(1+$A22)^(-Model!$C$68:$K$68))+Inputs!$C$11+Model!$K$63*G$21*(1+$A22)^(-(Model!$K$68+0.5))+Inputs!$C$9)*1000/Scenarios!$B$41)</f>
        <v/>
      </c>
    </row>
    <row r="23">
      <c r="A23" s="15" t="n">
        <v>0.115</v>
      </c>
      <c r="B23" s="10">
        <f>MAX(0,(SUMPRODUCT(Model!$C$67:$K$67,(1+$A23)^(-Model!$C$68:$K$68))+Inputs!$C$11+Model!$K$63*B$21*(1+$A23)^(-(Model!$K$68+0.5))+Inputs!$C$9)*1000/Scenarios!$B$41)</f>
        <v/>
      </c>
      <c r="C23" s="10">
        <f>MAX(0,(SUMPRODUCT(Model!$C$67:$K$67,(1+$A23)^(-Model!$C$68:$K$68))+Inputs!$C$11+Model!$K$63*C$21*(1+$A23)^(-(Model!$K$68+0.5))+Inputs!$C$9)*1000/Scenarios!$B$41)</f>
        <v/>
      </c>
      <c r="D23" s="10">
        <f>MAX(0,(SUMPRODUCT(Model!$C$67:$K$67,(1+$A23)^(-Model!$C$68:$K$68))+Inputs!$C$11+Model!$K$63*D$21*(1+$A23)^(-(Model!$K$68+0.5))+Inputs!$C$9)*1000/Scenarios!$B$41)</f>
        <v/>
      </c>
      <c r="E23" s="10">
        <f>MAX(0,(SUMPRODUCT(Model!$C$67:$K$67,(1+$A23)^(-Model!$C$68:$K$68))+Inputs!$C$11+Model!$K$63*E$21*(1+$A23)^(-(Model!$K$68+0.5))+Inputs!$C$9)*1000/Scenarios!$B$41)</f>
        <v/>
      </c>
      <c r="F23" s="10">
        <f>MAX(0,(SUMPRODUCT(Model!$C$67:$K$67,(1+$A23)^(-Model!$C$68:$K$68))+Inputs!$C$11+Model!$K$63*F$21*(1+$A23)^(-(Model!$K$68+0.5))+Inputs!$C$9)*1000/Scenarios!$B$41)</f>
        <v/>
      </c>
      <c r="G23" s="10">
        <f>MAX(0,(SUMPRODUCT(Model!$C$67:$K$67,(1+$A23)^(-Model!$C$68:$K$68))+Inputs!$C$11+Model!$K$63*G$21*(1+$A23)^(-(Model!$K$68+0.5))+Inputs!$C$9)*1000/Scenarios!$B$41)</f>
        <v/>
      </c>
    </row>
    <row r="24">
      <c r="A24" s="15" t="n">
        <v>0.125</v>
      </c>
      <c r="B24" s="10">
        <f>MAX(0,(SUMPRODUCT(Model!$C$67:$K$67,(1+$A24)^(-Model!$C$68:$K$68))+Inputs!$C$11+Model!$K$63*B$21*(1+$A24)^(-(Model!$K$68+0.5))+Inputs!$C$9)*1000/Scenarios!$B$41)</f>
        <v/>
      </c>
      <c r="C24" s="10">
        <f>MAX(0,(SUMPRODUCT(Model!$C$67:$K$67,(1+$A24)^(-Model!$C$68:$K$68))+Inputs!$C$11+Model!$K$63*C$21*(1+$A24)^(-(Model!$K$68+0.5))+Inputs!$C$9)*1000/Scenarios!$B$41)</f>
        <v/>
      </c>
      <c r="D24" s="10">
        <f>MAX(0,(SUMPRODUCT(Model!$C$67:$K$67,(1+$A24)^(-Model!$C$68:$K$68))+Inputs!$C$11+Model!$K$63*D$21*(1+$A24)^(-(Model!$K$68+0.5))+Inputs!$C$9)*1000/Scenarios!$B$41)</f>
        <v/>
      </c>
      <c r="E24" s="10">
        <f>MAX(0,(SUMPRODUCT(Model!$C$67:$K$67,(1+$A24)^(-Model!$C$68:$K$68))+Inputs!$C$11+Model!$K$63*E$21*(1+$A24)^(-(Model!$K$68+0.5))+Inputs!$C$9)*1000/Scenarios!$B$41)</f>
        <v/>
      </c>
      <c r="F24" s="10">
        <f>MAX(0,(SUMPRODUCT(Model!$C$67:$K$67,(1+$A24)^(-Model!$C$68:$K$68))+Inputs!$C$11+Model!$K$63*F$21*(1+$A24)^(-(Model!$K$68+0.5))+Inputs!$C$9)*1000/Scenarios!$B$41)</f>
        <v/>
      </c>
      <c r="G24" s="10">
        <f>MAX(0,(SUMPRODUCT(Model!$C$67:$K$67,(1+$A24)^(-Model!$C$68:$K$68))+Inputs!$C$11+Model!$K$63*G$21*(1+$A24)^(-(Model!$K$68+0.5))+Inputs!$C$9)*1000/Scenarios!$B$41)</f>
        <v/>
      </c>
    </row>
    <row r="25">
      <c r="A25" s="15" t="n">
        <v>0.135</v>
      </c>
      <c r="B25" s="10">
        <f>MAX(0,(SUMPRODUCT(Model!$C$67:$K$67,(1+$A25)^(-Model!$C$68:$K$68))+Inputs!$C$11+Model!$K$63*B$21*(1+$A25)^(-(Model!$K$68+0.5))+Inputs!$C$9)*1000/Scenarios!$B$41)</f>
        <v/>
      </c>
      <c r="C25" s="10">
        <f>MAX(0,(SUMPRODUCT(Model!$C$67:$K$67,(1+$A25)^(-Model!$C$68:$K$68))+Inputs!$C$11+Model!$K$63*C$21*(1+$A25)^(-(Model!$K$68+0.5))+Inputs!$C$9)*1000/Scenarios!$B$41)</f>
        <v/>
      </c>
      <c r="D25" s="10">
        <f>MAX(0,(SUMPRODUCT(Model!$C$67:$K$67,(1+$A25)^(-Model!$C$68:$K$68))+Inputs!$C$11+Model!$K$63*D$21*(1+$A25)^(-(Model!$K$68+0.5))+Inputs!$C$9)*1000/Scenarios!$B$41)</f>
        <v/>
      </c>
      <c r="E25" s="10">
        <f>MAX(0,(SUMPRODUCT(Model!$C$67:$K$67,(1+$A25)^(-Model!$C$68:$K$68))+Inputs!$C$11+Model!$K$63*E$21*(1+$A25)^(-(Model!$K$68+0.5))+Inputs!$C$9)*1000/Scenarios!$B$41)</f>
        <v/>
      </c>
      <c r="F25" s="10">
        <f>MAX(0,(SUMPRODUCT(Model!$C$67:$K$67,(1+$A25)^(-Model!$C$68:$K$68))+Inputs!$C$11+Model!$K$63*F$21*(1+$A25)^(-(Model!$K$68+0.5))+Inputs!$C$9)*1000/Scenarios!$B$41)</f>
        <v/>
      </c>
      <c r="G25" s="10">
        <f>MAX(0,(SUMPRODUCT(Model!$C$67:$K$67,(1+$A25)^(-Model!$C$68:$K$68))+Inputs!$C$11+Model!$K$63*G$21*(1+$A25)^(-(Model!$K$68+0.5))+Inputs!$C$9)*1000/Scenarios!$B$41)</f>
        <v/>
      </c>
    </row>
    <row r="26">
      <c r="A26" s="15" t="n">
        <v>0.145</v>
      </c>
      <c r="B26" s="10">
        <f>MAX(0,(SUMPRODUCT(Model!$C$67:$K$67,(1+$A26)^(-Model!$C$68:$K$68))+Inputs!$C$11+Model!$K$63*B$21*(1+$A26)^(-(Model!$K$68+0.5))+Inputs!$C$9)*1000/Scenarios!$B$41)</f>
        <v/>
      </c>
      <c r="C26" s="10">
        <f>MAX(0,(SUMPRODUCT(Model!$C$67:$K$67,(1+$A26)^(-Model!$C$68:$K$68))+Inputs!$C$11+Model!$K$63*C$21*(1+$A26)^(-(Model!$K$68+0.5))+Inputs!$C$9)*1000/Scenarios!$B$41)</f>
        <v/>
      </c>
      <c r="D26" s="10">
        <f>MAX(0,(SUMPRODUCT(Model!$C$67:$K$67,(1+$A26)^(-Model!$C$68:$K$68))+Inputs!$C$11+Model!$K$63*D$21*(1+$A26)^(-(Model!$K$68+0.5))+Inputs!$C$9)*1000/Scenarios!$B$41)</f>
        <v/>
      </c>
      <c r="E26" s="10">
        <f>MAX(0,(SUMPRODUCT(Model!$C$67:$K$67,(1+$A26)^(-Model!$C$68:$K$68))+Inputs!$C$11+Model!$K$63*E$21*(1+$A26)^(-(Model!$K$68+0.5))+Inputs!$C$9)*1000/Scenarios!$B$41)</f>
        <v/>
      </c>
      <c r="F26" s="10">
        <f>MAX(0,(SUMPRODUCT(Model!$C$67:$K$67,(1+$A26)^(-Model!$C$68:$K$68))+Inputs!$C$11+Model!$K$63*F$21*(1+$A26)^(-(Model!$K$68+0.5))+Inputs!$C$9)*1000/Scenarios!$B$41)</f>
        <v/>
      </c>
      <c r="G26" s="10">
        <f>MAX(0,(SUMPRODUCT(Model!$C$67:$K$67,(1+$A26)^(-Model!$C$68:$K$68))+Inputs!$C$11+Model!$K$63*G$21*(1+$A26)^(-(Model!$K$68+0.5))+Inputs!$C$9)*1000/Scenarios!$B$41)</f>
        <v/>
      </c>
    </row>
    <row r="27">
      <c r="A27" s="15" t="n">
        <v>0.155</v>
      </c>
      <c r="B27" s="10">
        <f>MAX(0,(SUMPRODUCT(Model!$C$67:$K$67,(1+$A27)^(-Model!$C$68:$K$68))+Inputs!$C$11+Model!$K$63*B$21*(1+$A27)^(-(Model!$K$68+0.5))+Inputs!$C$9)*1000/Scenarios!$B$41)</f>
        <v/>
      </c>
      <c r="C27" s="10">
        <f>MAX(0,(SUMPRODUCT(Model!$C$67:$K$67,(1+$A27)^(-Model!$C$68:$K$68))+Inputs!$C$11+Model!$K$63*C$21*(1+$A27)^(-(Model!$K$68+0.5))+Inputs!$C$9)*1000/Scenarios!$B$41)</f>
        <v/>
      </c>
      <c r="D27" s="10">
        <f>MAX(0,(SUMPRODUCT(Model!$C$67:$K$67,(1+$A27)^(-Model!$C$68:$K$68))+Inputs!$C$11+Model!$K$63*D$21*(1+$A27)^(-(Model!$K$68+0.5))+Inputs!$C$9)*1000/Scenarios!$B$41)</f>
        <v/>
      </c>
      <c r="E27" s="10">
        <f>MAX(0,(SUMPRODUCT(Model!$C$67:$K$67,(1+$A27)^(-Model!$C$68:$K$68))+Inputs!$C$11+Model!$K$63*E$21*(1+$A27)^(-(Model!$K$68+0.5))+Inputs!$C$9)*1000/Scenarios!$B$41)</f>
        <v/>
      </c>
      <c r="F27" s="10">
        <f>MAX(0,(SUMPRODUCT(Model!$C$67:$K$67,(1+$A27)^(-Model!$C$68:$K$68))+Inputs!$C$11+Model!$K$63*F$21*(1+$A27)^(-(Model!$K$68+0.5))+Inputs!$C$9)*1000/Scenarios!$B$41)</f>
        <v/>
      </c>
      <c r="G27" s="10">
        <f>MAX(0,(SUMPRODUCT(Model!$C$67:$K$67,(1+$A27)^(-Model!$C$68:$K$68))+Inputs!$C$11+Model!$K$63*G$21*(1+$A27)^(-(Model!$K$68+0.5))+Inputs!$C$9)*1000/Scenarios!$B$41)</f>
        <v/>
      </c>
    </row>
    <row r="28">
      <c r="A28" s="15" t="n">
        <v>0.165</v>
      </c>
      <c r="B28" s="10">
        <f>MAX(0,(SUMPRODUCT(Model!$C$67:$K$67,(1+$A28)^(-Model!$C$68:$K$68))+Inputs!$C$11+Model!$K$63*B$21*(1+$A28)^(-(Model!$K$68+0.5))+Inputs!$C$9)*1000/Scenarios!$B$41)</f>
        <v/>
      </c>
      <c r="C28" s="10">
        <f>MAX(0,(SUMPRODUCT(Model!$C$67:$K$67,(1+$A28)^(-Model!$C$68:$K$68))+Inputs!$C$11+Model!$K$63*C$21*(1+$A28)^(-(Model!$K$68+0.5))+Inputs!$C$9)*1000/Scenarios!$B$41)</f>
        <v/>
      </c>
      <c r="D28" s="10">
        <f>MAX(0,(SUMPRODUCT(Model!$C$67:$K$67,(1+$A28)^(-Model!$C$68:$K$68))+Inputs!$C$11+Model!$K$63*D$21*(1+$A28)^(-(Model!$K$68+0.5))+Inputs!$C$9)*1000/Scenarios!$B$41)</f>
        <v/>
      </c>
      <c r="E28" s="10">
        <f>MAX(0,(SUMPRODUCT(Model!$C$67:$K$67,(1+$A28)^(-Model!$C$68:$K$68))+Inputs!$C$11+Model!$K$63*E$21*(1+$A28)^(-(Model!$K$68+0.5))+Inputs!$C$9)*1000/Scenarios!$B$41)</f>
        <v/>
      </c>
      <c r="F28" s="10">
        <f>MAX(0,(SUMPRODUCT(Model!$C$67:$K$67,(1+$A28)^(-Model!$C$68:$K$68))+Inputs!$C$11+Model!$K$63*F$21*(1+$A28)^(-(Model!$K$68+0.5))+Inputs!$C$9)*1000/Scenarios!$B$41)</f>
        <v/>
      </c>
      <c r="G28" s="10">
        <f>MAX(0,(SUMPRODUCT(Model!$C$67:$K$67,(1+$A28)^(-Model!$C$68:$K$68))+Inputs!$C$11+Model!$K$63*G$21*(1+$A28)^(-(Model!$K$68+0.5))+Inputs!$C$9)*1000/Scenarios!$B$41)</f>
        <v/>
      </c>
    </row>
    <row r="30">
      <c r="A30" s="11" t="inlineStr">
        <is>
          <t>Comparable trading multiples, 2026-10-16 (StockAnalysis; for context, not inputs)</t>
        </is>
      </c>
    </row>
    <row r="31">
      <c r="A31" s="3" t="inlineStr">
        <is>
          <t>Company</t>
        </is>
      </c>
      <c r="B31" s="4" t="inlineStr">
        <is>
          <t>EV / sales TTM</t>
        </is>
      </c>
      <c r="C31" s="4" t="inlineStr">
        <is>
          <t>EV / EBITDA TTM</t>
        </is>
      </c>
      <c r="D31" s="4" t="inlineStr">
        <is>
          <t>Forward P/E</t>
        </is>
      </c>
    </row>
    <row r="32">
      <c r="A32" s="5" t="inlineStr">
        <is>
          <t>AMD</t>
        </is>
      </c>
      <c r="B32" s="16" t="n">
        <v>21.3</v>
      </c>
      <c r="C32" s="16" t="n">
        <v>92.09999999999999</v>
      </c>
      <c r="D32" s="16" t="n">
        <v>50.6</v>
      </c>
    </row>
    <row r="33">
      <c r="A33" s="5" t="inlineStr">
        <is>
          <t>NVIDIA</t>
        </is>
      </c>
      <c r="B33" s="16" t="n">
        <v>17.2</v>
      </c>
      <c r="C33" s="16" t="n">
        <v>25.9</v>
      </c>
      <c r="D33" s="16" t="n">
        <v>17.7</v>
      </c>
    </row>
    <row r="34">
      <c r="A34" s="5" t="inlineStr">
        <is>
          <t>Broadcom</t>
        </is>
      </c>
      <c r="B34" s="16" t="n">
        <v>18.4</v>
      </c>
      <c r="C34" s="16" t="n">
        <v>31.4</v>
      </c>
      <c r="D34" s="16" t="n">
        <v>19</v>
      </c>
    </row>
    <row r="35">
      <c r="A35" s="5" t="inlineStr">
        <is>
          <t>TSMC</t>
        </is>
      </c>
      <c r="B35" s="16" t="n">
        <v>11.8</v>
      </c>
      <c r="C35" s="16" t="n">
        <v>16.2</v>
      </c>
      <c r="D35" s="16" t="n">
        <v>18.8</v>
      </c>
    </row>
    <row r="36">
      <c r="A36" s="5" t="inlineStr">
        <is>
          <t>Marvell</t>
        </is>
      </c>
      <c r="B36" s="16" t="n">
        <v>21.7</v>
      </c>
      <c r="C36" s="16" t="n">
        <v>71.8</v>
      </c>
      <c r="D36" s="16" t="n">
        <v>40.5</v>
      </c>
    </row>
    <row r="37">
      <c r="A37" s="5" t="inlineStr">
        <is>
          <t>Arm</t>
        </is>
      </c>
      <c r="B37" s="16" t="n">
        <v>48.1</v>
      </c>
      <c r="C37" s="16" t="n">
        <v>233.3</v>
      </c>
      <c r="D37" s="16" t="n">
        <v>102.6</v>
      </c>
    </row>
    <row r="38">
      <c r="A38" s="5" t="inlineStr">
        <is>
          <t>Intel</t>
        </is>
      </c>
      <c r="B38" s="16" t="n">
        <v>8.800000000000001</v>
      </c>
      <c r="C38" s="16" t="n">
        <v>29.8</v>
      </c>
      <c r="D38" s="16" t="n">
        <v>55.7</v>
      </c>
    </row>
    <row r="39">
      <c r="A39" s="5" t="inlineStr">
        <is>
          <t>Qualcomm</t>
        </is>
      </c>
      <c r="B39" s="16" t="n">
        <v>4.4</v>
      </c>
      <c r="C39" s="16" t="n">
        <v>16.2</v>
      </c>
      <c r="D39" s="16" t="n">
        <v>18.7</v>
      </c>
    </row>
    <row r="41">
      <c r="A41" s="2" t="inlineStr">
        <is>
          <t>Raw-beta check: cost of equity with beta 2.31 = 5.2% + 2.31 x 5.0% = 16.75%; at that rate the model value is about $270 (set the Blume weight to 1 to see it).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3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4" customWidth="1" min="3" max="3"/>
  </cols>
  <sheetData>
    <row r="1">
      <c r="A1" s="1" t="inlineStr">
        <is>
          <t>Advanced Micro Devices (AMD), inputs</t>
        </is>
      </c>
    </row>
    <row r="2">
      <c r="A2" s="2" t="inlineStr">
        <is>
          <t>Blue = hardcoded input (change these). Black = formula. Green = link from another sheet. Yellow = key judgment call.</t>
        </is>
      </c>
    </row>
    <row r="3">
      <c r="A3" s="17" t="inlineStr">
        <is>
          <t>Market</t>
        </is>
      </c>
      <c r="C3" s="18" t="n"/>
    </row>
    <row r="4">
      <c r="A4" s="5" t="inlineStr">
        <is>
          <t>Share price ($)</t>
        </is>
      </c>
      <c r="C4" s="19" t="n">
        <v>528.75</v>
      </c>
    </row>
    <row r="5">
      <c r="A5" s="5" t="inlineStr">
        <is>
          <t>Diluted shares, Q3 2026 estimate (mm)</t>
        </is>
      </c>
      <c r="C5" s="20" t="n">
        <v>1661</v>
      </c>
    </row>
    <row r="6">
      <c r="A6" s="5" t="inlineStr">
        <is>
          <t>World Labs acquisition shares, estimate (mm)</t>
        </is>
      </c>
      <c r="C6" s="21" t="n">
        <v>14.6</v>
      </c>
    </row>
    <row r="7">
      <c r="A7" s="5" t="inlineStr">
        <is>
          <t>Cash + short-term investments ($bn)</t>
        </is>
      </c>
      <c r="C7" s="22" t="n">
        <v>13.111</v>
      </c>
    </row>
    <row r="8">
      <c r="A8" s="5" t="inlineStr">
        <is>
          <t>Debt ($bn)</t>
        </is>
      </c>
      <c r="C8" s="22" t="n">
        <v>3.226</v>
      </c>
    </row>
    <row r="9">
      <c r="A9" s="5" t="inlineStr">
        <is>
          <t>Net cash ($bn)</t>
        </is>
      </c>
      <c r="C9" s="23">
        <f>C7-C8</f>
        <v/>
      </c>
    </row>
    <row r="10">
      <c r="A10" s="5" t="inlineStr">
        <is>
          <t>Market capitalization, diluted ($bn)</t>
        </is>
      </c>
      <c r="C10" s="23">
        <f>C4*C5/1000</f>
        <v/>
      </c>
    </row>
    <row r="11">
      <c r="A11" s="5" t="inlineStr">
        <is>
          <t>H2 2026 unlevered FCF after SBC, estimate ($bn)</t>
        </is>
      </c>
      <c r="C11" s="22" t="n">
        <v>3</v>
      </c>
    </row>
    <row r="12">
      <c r="A12" s="5" t="inlineStr">
        <is>
          <t>Valuation date (decimal year)</t>
        </is>
      </c>
      <c r="C12" s="24" t="n">
        <v>2026.79</v>
      </c>
    </row>
    <row r="13">
      <c r="A13" s="5" t="inlineStr">
        <is>
          <t>2026E revenue ($bn)</t>
        </is>
      </c>
      <c r="C13" s="22" t="n">
        <v>50.2</v>
      </c>
    </row>
    <row r="14">
      <c r="A14" s="17" t="inlineStr">
        <is>
          <t>Discount rate</t>
        </is>
      </c>
      <c r="C14" s="18" t="n"/>
    </row>
    <row r="15">
      <c r="A15" s="5" t="inlineStr">
        <is>
          <t>Risk-free rate</t>
        </is>
      </c>
      <c r="C15" s="15" t="n">
        <v>0.052</v>
      </c>
    </row>
    <row r="16">
      <c r="A16" s="5" t="inlineStr">
        <is>
          <t>Raw beta</t>
        </is>
      </c>
      <c r="C16" s="24" t="n">
        <v>2.31</v>
      </c>
    </row>
    <row r="17">
      <c r="A17" s="5" t="inlineStr">
        <is>
          <t>Weight on raw beta (Blume)</t>
        </is>
      </c>
      <c r="C17" s="25" t="n">
        <v>0.6666666666666666</v>
      </c>
    </row>
    <row r="18">
      <c r="A18" s="5" t="inlineStr">
        <is>
          <t>Adjusted beta</t>
        </is>
      </c>
      <c r="C18" s="26">
        <f>C17*C16+(1-C17)</f>
        <v/>
      </c>
    </row>
    <row r="19">
      <c r="A19" s="5" t="inlineStr">
        <is>
          <t>Equity risk premium</t>
        </is>
      </c>
      <c r="C19" s="15" t="n">
        <v>0.05</v>
      </c>
    </row>
    <row r="20">
      <c r="A20" s="5" t="inlineStr">
        <is>
          <t>Cost of equity</t>
        </is>
      </c>
      <c r="C20" s="8">
        <f>C15+C18*C19</f>
        <v/>
      </c>
    </row>
    <row r="21">
      <c r="A21" s="5" t="inlineStr">
        <is>
          <t>After-tax cost of debt</t>
        </is>
      </c>
      <c r="C21" s="15" t="n">
        <v>0.0425</v>
      </c>
    </row>
    <row r="22">
      <c r="A22" s="5" t="inlineStr">
        <is>
          <t>Pro forma debt for weights ($bn)</t>
        </is>
      </c>
      <c r="C22" s="23">
        <f>C8+4.75-0.875</f>
        <v/>
      </c>
    </row>
    <row r="23">
      <c r="A23" s="5" t="inlineStr">
        <is>
          <t>Equity weight</t>
        </is>
      </c>
      <c r="C23" s="8">
        <f>C10/(C10+C22)</f>
        <v/>
      </c>
    </row>
    <row r="24">
      <c r="A24" s="5" t="inlineStr">
        <is>
          <t>WACC (computed)</t>
        </is>
      </c>
      <c r="C24" s="8">
        <f>C23*C20+(1-C23)*C21</f>
        <v/>
      </c>
    </row>
    <row r="25">
      <c r="A25" s="5" t="inlineStr">
        <is>
          <t>WACC used</t>
        </is>
      </c>
      <c r="C25" s="27">
        <f>ROUND(C24,3)</f>
        <v/>
      </c>
    </row>
    <row r="26">
      <c r="A26" s="17" t="inlineStr">
        <is>
          <t>Terminal value</t>
        </is>
      </c>
      <c r="C26" s="18" t="n"/>
    </row>
    <row r="27">
      <c r="A27" s="5" t="inlineStr">
        <is>
          <t>Exit multiple, EV/EBITDA (2035)</t>
        </is>
      </c>
      <c r="C27" s="28" t="n">
        <v>16</v>
      </c>
    </row>
    <row r="28">
      <c r="A28" s="5" t="inlineStr">
        <is>
          <t>Perpetual growth (cross-check)</t>
        </is>
      </c>
      <c r="C28" s="15" t="n">
        <v>0.03</v>
      </c>
    </row>
    <row r="29">
      <c r="A29" s="5" t="inlineStr">
        <is>
          <t>Terminal tax rate</t>
        </is>
      </c>
      <c r="C29" s="15" t="n">
        <v>0.15</v>
      </c>
    </row>
    <row r="30">
      <c r="A30" s="5" t="inlineStr">
        <is>
          <t>Terminal capex / D&amp;A</t>
        </is>
      </c>
      <c r="C30" s="29" t="n">
        <v>1.1</v>
      </c>
    </row>
    <row r="31">
      <c r="A31" s="5" t="inlineStr">
        <is>
          <t>Net working capital, % of revenue change</t>
        </is>
      </c>
      <c r="C31" s="15" t="n">
        <v>0.15</v>
      </c>
    </row>
    <row r="32">
      <c r="A32" s="17" t="inlineStr">
        <is>
          <t>Warrants</t>
        </is>
      </c>
      <c r="C32" s="18" t="n"/>
    </row>
    <row r="33">
      <c r="A33" s="5" t="inlineStr">
        <is>
          <t>Warrant shares per customer at full vesting (mm)</t>
        </is>
      </c>
      <c r="C33" s="20" t="n">
        <v>160</v>
      </c>
    </row>
    <row r="34">
      <c r="A34" s="5" t="inlineStr">
        <is>
          <t>GW for full vesting</t>
        </is>
      </c>
      <c r="C34" s="21" t="n">
        <v>6</v>
      </c>
    </row>
    <row r="35">
      <c r="A35" s="5" t="inlineStr">
        <is>
          <t>OpenAI GW delivered in 2026 (estimate)</t>
        </is>
      </c>
      <c r="C35" s="21" t="n">
        <v>0.3</v>
      </c>
    </row>
    <row r="36">
      <c r="A36" s="5" t="inlineStr">
        <is>
          <t>Meta GW delivered in 2026 (estimate)</t>
        </is>
      </c>
      <c r="C36" s="21" t="n">
        <v>0.2</v>
      </c>
    </row>
    <row r="37">
      <c r="A37" s="17" t="inlineStr">
        <is>
          <t>Scenario weights</t>
        </is>
      </c>
      <c r="C37" s="18" t="n"/>
    </row>
    <row r="38">
      <c r="A38" s="5" t="inlineStr">
        <is>
          <t>Bear probability</t>
        </is>
      </c>
      <c r="C38" s="30" t="n">
        <v>0.25</v>
      </c>
    </row>
    <row r="39">
      <c r="A39" s="5" t="inlineStr">
        <is>
          <t>Base probability</t>
        </is>
      </c>
      <c r="C39" s="30" t="n">
        <v>0.45</v>
      </c>
    </row>
    <row r="40">
      <c r="A40" s="5" t="inlineStr">
        <is>
          <t>Bull probability</t>
        </is>
      </c>
      <c r="C40" s="30" t="n">
        <v>0.3</v>
      </c>
    </row>
    <row r="41">
      <c r="A41" s="17" t="inlineStr">
        <is>
          <t>Long-horizon rule</t>
        </is>
      </c>
      <c r="C41" s="18" t="n"/>
    </row>
    <row r="42">
      <c r="A42" s="5" t="inlineStr">
        <is>
          <t>Horizon (years, longest of 3-5)</t>
        </is>
      </c>
      <c r="C42" s="31" t="n">
        <v>5</v>
      </c>
    </row>
    <row r="43">
      <c r="A43" s="5" t="inlineStr">
        <is>
          <t>Premium over cost of equity for Bullish</t>
        </is>
      </c>
      <c r="C43" s="15" t="n">
        <v>0.02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1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Scenario drivers, 2027-2035 (author estimates)</t>
        </is>
      </c>
    </row>
    <row r="2">
      <c r="A2" s="2" t="inlineStr">
        <is>
          <t>Edit the blue cells. Each block feeds the matching block on the Model sheet. GW = gigawatt-equivalent of Instinct shipments.</t>
        </is>
      </c>
    </row>
    <row r="4">
      <c r="A4" s="11" t="inlineStr">
        <is>
          <t>Bear case</t>
        </is>
      </c>
    </row>
    <row r="5">
      <c r="A5" s="2" t="inlineStr">
        <is>
          <t>The big three labs take far less than they announced: OpenAI and Meta stop near 2.5 GW each, Anthropic and the clouds buy cautiously, and NVIDIA Rubin plus custom chips push revenue per GW down to $10B. Server CPUs keep gaining share but the agentic-AI surge fades after 2027. Fewer warrant shares vest, but there is much less revenue to share.</t>
        </is>
      </c>
    </row>
    <row r="6">
      <c r="A6" s="3" t="inlineStr">
        <is>
          <t>Driver</t>
        </is>
      </c>
      <c r="B6" s="4" t="inlineStr">
        <is>
          <t>2027</t>
        </is>
      </c>
      <c r="C6" s="4" t="inlineStr">
        <is>
          <t>2028</t>
        </is>
      </c>
      <c r="D6" s="4" t="inlineStr">
        <is>
          <t>2029</t>
        </is>
      </c>
      <c r="E6" s="4" t="inlineStr">
        <is>
          <t>2030</t>
        </is>
      </c>
      <c r="F6" s="4" t="inlineStr">
        <is>
          <t>2031</t>
        </is>
      </c>
      <c r="G6" s="4" t="inlineStr">
        <is>
          <t>2032</t>
        </is>
      </c>
      <c r="H6" s="4" t="inlineStr">
        <is>
          <t>2033</t>
        </is>
      </c>
      <c r="I6" s="4" t="inlineStr">
        <is>
          <t>2034</t>
        </is>
      </c>
      <c r="J6" s="4" t="inlineStr">
        <is>
          <t>2035</t>
        </is>
      </c>
    </row>
    <row r="7">
      <c r="A7" s="5" t="inlineStr">
        <is>
          <t>GW shipped to OpenAI</t>
        </is>
      </c>
      <c r="B7" s="21" t="n">
        <v>0.5</v>
      </c>
      <c r="C7" s="21" t="n">
        <v>0.6</v>
      </c>
      <c r="D7" s="21" t="n">
        <v>0.6</v>
      </c>
      <c r="E7" s="21" t="n">
        <v>0.6</v>
      </c>
      <c r="F7" s="21" t="n">
        <v>0.5</v>
      </c>
      <c r="G7" s="21" t="n">
        <v>0.5</v>
      </c>
      <c r="H7" s="21" t="n">
        <v>0.5</v>
      </c>
      <c r="I7" s="21" t="n">
        <v>0.5</v>
      </c>
      <c r="J7" s="21" t="n">
        <v>0.5</v>
      </c>
    </row>
    <row r="8">
      <c r="A8" s="5" t="inlineStr">
        <is>
          <t>GW shipped to Meta</t>
        </is>
      </c>
      <c r="B8" s="21" t="n">
        <v>0.5</v>
      </c>
      <c r="C8" s="21" t="n">
        <v>0.6</v>
      </c>
      <c r="D8" s="21" t="n">
        <v>0.6</v>
      </c>
      <c r="E8" s="21" t="n">
        <v>0.6</v>
      </c>
      <c r="F8" s="21" t="n">
        <v>0.5</v>
      </c>
      <c r="G8" s="21" t="n">
        <v>0.5</v>
      </c>
      <c r="H8" s="21" t="n">
        <v>0.5</v>
      </c>
      <c r="I8" s="21" t="n">
        <v>0.5</v>
      </c>
      <c r="J8" s="21" t="n">
        <v>0.5</v>
      </c>
    </row>
    <row r="9">
      <c r="A9" s="5" t="inlineStr">
        <is>
          <t>GW shipped to all other customers</t>
        </is>
      </c>
      <c r="B9" s="21" t="n">
        <v>0.5</v>
      </c>
      <c r="C9" s="21" t="n">
        <v>0.8</v>
      </c>
      <c r="D9" s="21" t="n">
        <v>1.2</v>
      </c>
      <c r="E9" s="21" t="n">
        <v>1.6</v>
      </c>
      <c r="F9" s="21" t="n">
        <v>2</v>
      </c>
      <c r="G9" s="21" t="n">
        <v>2.2</v>
      </c>
      <c r="H9" s="21" t="n">
        <v>2.4</v>
      </c>
      <c r="I9" s="21" t="n">
        <v>2.5</v>
      </c>
      <c r="J9" s="21" t="n">
        <v>2.6</v>
      </c>
    </row>
    <row r="10">
      <c r="A10" s="5" t="inlineStr">
        <is>
          <t>Revenue per GW ($bn)</t>
        </is>
      </c>
      <c r="B10" s="21" t="n">
        <v>13</v>
      </c>
      <c r="C10" s="21" t="n">
        <v>12.5</v>
      </c>
      <c r="D10" s="21" t="n">
        <v>12</v>
      </c>
      <c r="E10" s="21" t="n">
        <v>11.5</v>
      </c>
      <c r="F10" s="21" t="n">
        <v>11</v>
      </c>
      <c r="G10" s="21" t="n">
        <v>10.5</v>
      </c>
      <c r="H10" s="21" t="n">
        <v>10</v>
      </c>
      <c r="I10" s="21" t="n">
        <v>10</v>
      </c>
      <c r="J10" s="21" t="n">
        <v>10</v>
      </c>
    </row>
    <row r="11">
      <c r="A11" s="5" t="inlineStr">
        <is>
          <t>Data Center AI gross margin</t>
        </is>
      </c>
      <c r="B11" s="15" t="n">
        <v>0.46</v>
      </c>
      <c r="C11" s="15" t="n">
        <v>0.46</v>
      </c>
      <c r="D11" s="15" t="n">
        <v>0.45</v>
      </c>
      <c r="E11" s="15" t="n">
        <v>0.45</v>
      </c>
      <c r="F11" s="15" t="n">
        <v>0.45</v>
      </c>
      <c r="G11" s="15" t="n">
        <v>0.45</v>
      </c>
      <c r="H11" s="15" t="n">
        <v>0.45</v>
      </c>
      <c r="I11" s="15" t="n">
        <v>0.45</v>
      </c>
      <c r="J11" s="15" t="n">
        <v>0.45</v>
      </c>
    </row>
    <row r="12">
      <c r="A12" s="5" t="inlineStr">
        <is>
          <t>EPYC server CPU revenue ($bn)</t>
        </is>
      </c>
      <c r="B12" s="22" t="n">
        <v>25</v>
      </c>
      <c r="C12" s="22" t="n">
        <v>29</v>
      </c>
      <c r="D12" s="22" t="n">
        <v>32</v>
      </c>
      <c r="E12" s="22" t="n">
        <v>34</v>
      </c>
      <c r="F12" s="22" t="n">
        <v>35.5</v>
      </c>
      <c r="G12" s="22" t="n">
        <v>37</v>
      </c>
      <c r="H12" s="22" t="n">
        <v>38</v>
      </c>
      <c r="I12" s="22" t="n">
        <v>39</v>
      </c>
      <c r="J12" s="22" t="n">
        <v>40</v>
      </c>
    </row>
    <row r="13">
      <c r="A13" s="5" t="inlineStr">
        <is>
          <t>Client revenue ($bn)</t>
        </is>
      </c>
      <c r="B13" s="22" t="n">
        <v>11.5</v>
      </c>
      <c r="C13" s="22" t="n">
        <v>11.8</v>
      </c>
      <c r="D13" s="22" t="n">
        <v>12</v>
      </c>
      <c r="E13" s="22" t="n">
        <v>12.2</v>
      </c>
      <c r="F13" s="22" t="n">
        <v>12.4</v>
      </c>
      <c r="G13" s="22" t="n">
        <v>12.6</v>
      </c>
      <c r="H13" s="22" t="n">
        <v>12.8</v>
      </c>
      <c r="I13" s="22" t="n">
        <v>13</v>
      </c>
      <c r="J13" s="22" t="n">
        <v>13.2</v>
      </c>
    </row>
    <row r="14">
      <c r="A14" s="5" t="inlineStr">
        <is>
          <t>Gaming revenue ($bn)</t>
        </is>
      </c>
      <c r="B14" s="22" t="n">
        <v>2.5</v>
      </c>
      <c r="C14" s="22" t="n">
        <v>2.8</v>
      </c>
      <c r="D14" s="22" t="n">
        <v>2.8</v>
      </c>
      <c r="E14" s="22" t="n">
        <v>2.6</v>
      </c>
      <c r="F14" s="22" t="n">
        <v>2.4</v>
      </c>
      <c r="G14" s="22" t="n">
        <v>2.4</v>
      </c>
      <c r="H14" s="22" t="n">
        <v>2.4</v>
      </c>
      <c r="I14" s="22" t="n">
        <v>2.4</v>
      </c>
      <c r="J14" s="22" t="n">
        <v>2.4</v>
      </c>
    </row>
    <row r="15">
      <c r="A15" s="5" t="inlineStr">
        <is>
          <t>Embedded revenue ($bn)</t>
        </is>
      </c>
      <c r="B15" s="22" t="n">
        <v>4.1</v>
      </c>
      <c r="C15" s="22" t="n">
        <v>4.3</v>
      </c>
      <c r="D15" s="22" t="n">
        <v>4.5</v>
      </c>
      <c r="E15" s="22" t="n">
        <v>4.7</v>
      </c>
      <c r="F15" s="22" t="n">
        <v>4.9</v>
      </c>
      <c r="G15" s="22" t="n">
        <v>5.1</v>
      </c>
      <c r="H15" s="22" t="n">
        <v>5.3</v>
      </c>
      <c r="I15" s="22" t="n">
        <v>5.5</v>
      </c>
      <c r="J15" s="22" t="n">
        <v>5.7</v>
      </c>
    </row>
    <row r="16">
      <c r="A16" s="5" t="inlineStr">
        <is>
          <t>Operating expenses excl. SBC ($bn)</t>
        </is>
      </c>
      <c r="B16" s="22" t="n">
        <v>16.5</v>
      </c>
      <c r="C16" s="22" t="n">
        <v>18.5</v>
      </c>
      <c r="D16" s="22" t="n">
        <v>20</v>
      </c>
      <c r="E16" s="22" t="n">
        <v>21</v>
      </c>
      <c r="F16" s="22" t="n">
        <v>22</v>
      </c>
      <c r="G16" s="22" t="n">
        <v>23</v>
      </c>
      <c r="H16" s="22" t="n">
        <v>24</v>
      </c>
      <c r="I16" s="22" t="n">
        <v>25</v>
      </c>
      <c r="J16" s="22" t="n">
        <v>26</v>
      </c>
    </row>
    <row r="17">
      <c r="A17" s="5" t="inlineStr">
        <is>
          <t>Stock-based compensation ($bn)</t>
        </is>
      </c>
      <c r="B17" s="22" t="n">
        <v>2.4</v>
      </c>
      <c r="C17" s="22" t="n">
        <v>2.6</v>
      </c>
      <c r="D17" s="22" t="n">
        <v>2.8</v>
      </c>
      <c r="E17" s="22" t="n">
        <v>3</v>
      </c>
      <c r="F17" s="22" t="n">
        <v>3.2</v>
      </c>
      <c r="G17" s="22" t="n">
        <v>3.4</v>
      </c>
      <c r="H17" s="22" t="n">
        <v>3.6</v>
      </c>
      <c r="I17" s="22" t="n">
        <v>3.8</v>
      </c>
      <c r="J17" s="22" t="n">
        <v>4</v>
      </c>
    </row>
    <row r="18">
      <c r="A18" s="5" t="inlineStr">
        <is>
          <t>EPYC server CPU gross margin</t>
        </is>
      </c>
      <c r="B18" s="15" t="n">
        <v>0.62</v>
      </c>
    </row>
    <row r="19">
      <c r="A19" s="5" t="inlineStr">
        <is>
          <t>OpenAI warrant shares vested by expiry (mm)</t>
        </is>
      </c>
      <c r="B19" s="32">
        <f>MIN(Inputs!$C$34,Inputs!$C$35+SUM(B7:E7))*Inputs!$C$33/Inputs!$C$34</f>
        <v/>
      </c>
    </row>
    <row r="20">
      <c r="A20" s="5" t="inlineStr">
        <is>
          <t>Meta warrant shares vested by expiry (mm)</t>
        </is>
      </c>
      <c r="B20" s="32">
        <f>MIN(Inputs!$C$34,Inputs!$C$36+SUM(B8:E8))*Inputs!$C$33/Inputs!$C$34</f>
        <v/>
      </c>
    </row>
    <row r="21">
      <c r="A21" s="11" t="inlineStr">
        <is>
          <t>Share count incl. World Labs and vested warrants (mm)</t>
        </is>
      </c>
      <c r="B21" s="32">
        <f>Inputs!$C$5+Inputs!$C$6+B19+B20</f>
        <v/>
      </c>
    </row>
    <row r="24">
      <c r="A24" s="11" t="inlineStr">
        <is>
          <t>Base case</t>
        </is>
      </c>
    </row>
    <row r="25">
      <c r="A25" s="2" t="inlineStr">
        <is>
          <t>Helios ramps on schedule: OpenAI and Meta each take about 4.5 GW before their warrants expire, Anthropic and the clouds add a growing "other" book, and revenue per GW holds near $15B before easing to $13B as competition matures. Server CPUs grow 70% in 2027 and settle near half of a much larger market. Roughly AMD's own Analyst Day plan, delivered.</t>
        </is>
      </c>
    </row>
    <row r="26">
      <c r="A26" s="3" t="inlineStr">
        <is>
          <t>Driver</t>
        </is>
      </c>
      <c r="B26" s="4" t="inlineStr">
        <is>
          <t>2027</t>
        </is>
      </c>
      <c r="C26" s="4" t="inlineStr">
        <is>
          <t>2028</t>
        </is>
      </c>
      <c r="D26" s="4" t="inlineStr">
        <is>
          <t>2029</t>
        </is>
      </c>
      <c r="E26" s="4" t="inlineStr">
        <is>
          <t>2030</t>
        </is>
      </c>
      <c r="F26" s="4" t="inlineStr">
        <is>
          <t>2031</t>
        </is>
      </c>
      <c r="G26" s="4" t="inlineStr">
        <is>
          <t>2032</t>
        </is>
      </c>
      <c r="H26" s="4" t="inlineStr">
        <is>
          <t>2033</t>
        </is>
      </c>
      <c r="I26" s="4" t="inlineStr">
        <is>
          <t>2034</t>
        </is>
      </c>
      <c r="J26" s="4" t="inlineStr">
        <is>
          <t>2035</t>
        </is>
      </c>
    </row>
    <row r="27">
      <c r="A27" s="5" t="inlineStr">
        <is>
          <t>GW shipped to OpenAI</t>
        </is>
      </c>
      <c r="B27" s="21" t="n">
        <v>0.8</v>
      </c>
      <c r="C27" s="21" t="n">
        <v>1</v>
      </c>
      <c r="D27" s="21" t="n">
        <v>1.2</v>
      </c>
      <c r="E27" s="21" t="n">
        <v>1.3</v>
      </c>
      <c r="F27" s="21" t="n">
        <v>1.3</v>
      </c>
      <c r="G27" s="21" t="n">
        <v>1.3</v>
      </c>
      <c r="H27" s="21" t="n">
        <v>1.3</v>
      </c>
      <c r="I27" s="21" t="n">
        <v>1.3</v>
      </c>
      <c r="J27" s="21" t="n">
        <v>1.3</v>
      </c>
    </row>
    <row r="28">
      <c r="A28" s="5" t="inlineStr">
        <is>
          <t>GW shipped to Meta</t>
        </is>
      </c>
      <c r="B28" s="21" t="n">
        <v>0.7</v>
      </c>
      <c r="C28" s="21" t="n">
        <v>1</v>
      </c>
      <c r="D28" s="21" t="n">
        <v>1.2</v>
      </c>
      <c r="E28" s="21" t="n">
        <v>1.3</v>
      </c>
      <c r="F28" s="21" t="n">
        <v>1.3</v>
      </c>
      <c r="G28" s="21" t="n">
        <v>1.3</v>
      </c>
      <c r="H28" s="21" t="n">
        <v>1.3</v>
      </c>
      <c r="I28" s="21" t="n">
        <v>1.3</v>
      </c>
      <c r="J28" s="21" t="n">
        <v>1.3</v>
      </c>
    </row>
    <row r="29">
      <c r="A29" s="5" t="inlineStr">
        <is>
          <t>GW shipped to all other customers</t>
        </is>
      </c>
      <c r="B29" s="21" t="n">
        <v>0.8</v>
      </c>
      <c r="C29" s="21" t="n">
        <v>1.4</v>
      </c>
      <c r="D29" s="21" t="n">
        <v>2.2</v>
      </c>
      <c r="E29" s="21" t="n">
        <v>3</v>
      </c>
      <c r="F29" s="21" t="n">
        <v>3.7</v>
      </c>
      <c r="G29" s="21" t="n">
        <v>4.3</v>
      </c>
      <c r="H29" s="21" t="n">
        <v>4.8</v>
      </c>
      <c r="I29" s="21" t="n">
        <v>5.2</v>
      </c>
      <c r="J29" s="21" t="n">
        <v>5.5</v>
      </c>
    </row>
    <row r="30">
      <c r="A30" s="5" t="inlineStr">
        <is>
          <t>Revenue per GW ($bn)</t>
        </is>
      </c>
      <c r="B30" s="21" t="n">
        <v>15</v>
      </c>
      <c r="C30" s="21" t="n">
        <v>15</v>
      </c>
      <c r="D30" s="21" t="n">
        <v>15</v>
      </c>
      <c r="E30" s="21" t="n">
        <v>14.5</v>
      </c>
      <c r="F30" s="21" t="n">
        <v>14</v>
      </c>
      <c r="G30" s="21" t="n">
        <v>13.5</v>
      </c>
      <c r="H30" s="21" t="n">
        <v>13</v>
      </c>
      <c r="I30" s="21" t="n">
        <v>13</v>
      </c>
      <c r="J30" s="21" t="n">
        <v>13</v>
      </c>
    </row>
    <row r="31">
      <c r="A31" s="5" t="inlineStr">
        <is>
          <t>Data Center AI gross margin</t>
        </is>
      </c>
      <c r="B31" s="15" t="n">
        <v>0.5</v>
      </c>
      <c r="C31" s="15" t="n">
        <v>0.51</v>
      </c>
      <c r="D31" s="15" t="n">
        <v>0.52</v>
      </c>
      <c r="E31" s="15" t="n">
        <v>0.52</v>
      </c>
      <c r="F31" s="15" t="n">
        <v>0.52</v>
      </c>
      <c r="G31" s="15" t="n">
        <v>0.52</v>
      </c>
      <c r="H31" s="15" t="n">
        <v>0.52</v>
      </c>
      <c r="I31" s="15" t="n">
        <v>0.52</v>
      </c>
      <c r="J31" s="15" t="n">
        <v>0.52</v>
      </c>
    </row>
    <row r="32">
      <c r="A32" s="5" t="inlineStr">
        <is>
          <t>EPYC server CPU revenue ($bn)</t>
        </is>
      </c>
      <c r="B32" s="22" t="n">
        <v>29.4</v>
      </c>
      <c r="C32" s="22" t="n">
        <v>38</v>
      </c>
      <c r="D32" s="22" t="n">
        <v>45.5</v>
      </c>
      <c r="E32" s="22" t="n">
        <v>52</v>
      </c>
      <c r="F32" s="22" t="n">
        <v>57</v>
      </c>
      <c r="G32" s="22" t="n">
        <v>61</v>
      </c>
      <c r="H32" s="22" t="n">
        <v>64.5</v>
      </c>
      <c r="I32" s="22" t="n">
        <v>67.5</v>
      </c>
      <c r="J32" s="22" t="n">
        <v>70</v>
      </c>
    </row>
    <row r="33">
      <c r="A33" s="5" t="inlineStr">
        <is>
          <t>Client revenue ($bn)</t>
        </is>
      </c>
      <c r="B33" s="22" t="n">
        <v>12.6</v>
      </c>
      <c r="C33" s="22" t="n">
        <v>13.4</v>
      </c>
      <c r="D33" s="22" t="n">
        <v>14.2</v>
      </c>
      <c r="E33" s="22" t="n">
        <v>15</v>
      </c>
      <c r="F33" s="22" t="n">
        <v>15.8</v>
      </c>
      <c r="G33" s="22" t="n">
        <v>16.6</v>
      </c>
      <c r="H33" s="22" t="n">
        <v>17.4</v>
      </c>
      <c r="I33" s="22" t="n">
        <v>18.2</v>
      </c>
      <c r="J33" s="22" t="n">
        <v>19</v>
      </c>
    </row>
    <row r="34">
      <c r="A34" s="5" t="inlineStr">
        <is>
          <t>Gaming revenue ($bn)</t>
        </is>
      </c>
      <c r="B34" s="22" t="n">
        <v>2.8</v>
      </c>
      <c r="C34" s="22" t="n">
        <v>3.4</v>
      </c>
      <c r="D34" s="22" t="n">
        <v>3.6</v>
      </c>
      <c r="E34" s="22" t="n">
        <v>3.2</v>
      </c>
      <c r="F34" s="22" t="n">
        <v>3</v>
      </c>
      <c r="G34" s="22" t="n">
        <v>3.3</v>
      </c>
      <c r="H34" s="22" t="n">
        <v>3.6</v>
      </c>
      <c r="I34" s="22" t="n">
        <v>3.4</v>
      </c>
      <c r="J34" s="22" t="n">
        <v>3.2</v>
      </c>
    </row>
    <row r="35">
      <c r="A35" s="5" t="inlineStr">
        <is>
          <t>Embedded revenue ($bn)</t>
        </is>
      </c>
      <c r="B35" s="22" t="n">
        <v>4.4</v>
      </c>
      <c r="C35" s="22" t="n">
        <v>4.8</v>
      </c>
      <c r="D35" s="22" t="n">
        <v>5.2</v>
      </c>
      <c r="E35" s="22" t="n">
        <v>5.6</v>
      </c>
      <c r="F35" s="22" t="n">
        <v>6</v>
      </c>
      <c r="G35" s="22" t="n">
        <v>6.4</v>
      </c>
      <c r="H35" s="22" t="n">
        <v>6.8</v>
      </c>
      <c r="I35" s="22" t="n">
        <v>7.2</v>
      </c>
      <c r="J35" s="22" t="n">
        <v>7.6</v>
      </c>
    </row>
    <row r="36">
      <c r="A36" s="5" t="inlineStr">
        <is>
          <t>Operating expenses excl. SBC ($bn)</t>
        </is>
      </c>
      <c r="B36" s="22" t="n">
        <v>17.5</v>
      </c>
      <c r="C36" s="22" t="n">
        <v>20.5</v>
      </c>
      <c r="D36" s="22" t="n">
        <v>23</v>
      </c>
      <c r="E36" s="22" t="n">
        <v>25.5</v>
      </c>
      <c r="F36" s="22" t="n">
        <v>27.5</v>
      </c>
      <c r="G36" s="22" t="n">
        <v>29.5</v>
      </c>
      <c r="H36" s="22" t="n">
        <v>31.5</v>
      </c>
      <c r="I36" s="22" t="n">
        <v>33</v>
      </c>
      <c r="J36" s="22" t="n">
        <v>34.5</v>
      </c>
    </row>
    <row r="37">
      <c r="A37" s="5" t="inlineStr">
        <is>
          <t>Stock-based compensation ($bn)</t>
        </is>
      </c>
      <c r="B37" s="22" t="n">
        <v>2.5</v>
      </c>
      <c r="C37" s="22" t="n">
        <v>2.8</v>
      </c>
      <c r="D37" s="22" t="n">
        <v>3.1</v>
      </c>
      <c r="E37" s="22" t="n">
        <v>3.4</v>
      </c>
      <c r="F37" s="22" t="n">
        <v>3.7</v>
      </c>
      <c r="G37" s="22" t="n">
        <v>4</v>
      </c>
      <c r="H37" s="22" t="n">
        <v>4.3</v>
      </c>
      <c r="I37" s="22" t="n">
        <v>4.6</v>
      </c>
      <c r="J37" s="22" t="n">
        <v>4.9</v>
      </c>
    </row>
    <row r="38">
      <c r="A38" s="5" t="inlineStr">
        <is>
          <t>EPYC server CPU gross margin</t>
        </is>
      </c>
      <c r="B38" s="15" t="n">
        <v>0.66</v>
      </c>
    </row>
    <row r="39">
      <c r="A39" s="5" t="inlineStr">
        <is>
          <t>OpenAI warrant shares vested by expiry (mm)</t>
        </is>
      </c>
      <c r="B39" s="32">
        <f>MIN(Inputs!$C$34,Inputs!$C$35+SUM(B27:E27))*Inputs!$C$33/Inputs!$C$34</f>
        <v/>
      </c>
    </row>
    <row r="40">
      <c r="A40" s="5" t="inlineStr">
        <is>
          <t>Meta warrant shares vested by expiry (mm)</t>
        </is>
      </c>
      <c r="B40" s="32">
        <f>MIN(Inputs!$C$34,Inputs!$C$36+SUM(B28:E28))*Inputs!$C$33/Inputs!$C$34</f>
        <v/>
      </c>
    </row>
    <row r="41">
      <c r="A41" s="11" t="inlineStr">
        <is>
          <t>Share count incl. World Labs and vested warrants (mm)</t>
        </is>
      </c>
      <c r="B41" s="32">
        <f>Inputs!$C$5+Inputs!$C$6+B39+B40</f>
        <v/>
      </c>
    </row>
    <row r="44">
      <c r="A44" s="11" t="inlineStr">
        <is>
          <t>Bull case</t>
        </is>
      </c>
    </row>
    <row r="45">
      <c r="A45" s="2" t="inlineStr">
        <is>
          <t>AMD becomes the clear second source for frontier AI: OpenAI and Meta take the full 6 GW each by 2030 (all 320M warrant shares vest), the "other" book passes 7 GW a year, and revenue per GW stays near $16B as rack-scale content grows. Server CPUs reach a majority share of an agent-driven market. Margins beat the 55% to 58% target range.</t>
        </is>
      </c>
    </row>
    <row r="46">
      <c r="A46" s="3" t="inlineStr">
        <is>
          <t>Driver</t>
        </is>
      </c>
      <c r="B46" s="4" t="inlineStr">
        <is>
          <t>2027</t>
        </is>
      </c>
      <c r="C46" s="4" t="inlineStr">
        <is>
          <t>2028</t>
        </is>
      </c>
      <c r="D46" s="4" t="inlineStr">
        <is>
          <t>2029</t>
        </is>
      </c>
      <c r="E46" s="4" t="inlineStr">
        <is>
          <t>2030</t>
        </is>
      </c>
      <c r="F46" s="4" t="inlineStr">
        <is>
          <t>2031</t>
        </is>
      </c>
      <c r="G46" s="4" t="inlineStr">
        <is>
          <t>2032</t>
        </is>
      </c>
      <c r="H46" s="4" t="inlineStr">
        <is>
          <t>2033</t>
        </is>
      </c>
      <c r="I46" s="4" t="inlineStr">
        <is>
          <t>2034</t>
        </is>
      </c>
      <c r="J46" s="4" t="inlineStr">
        <is>
          <t>2035</t>
        </is>
      </c>
    </row>
    <row r="47">
      <c r="A47" s="5" t="inlineStr">
        <is>
          <t>GW shipped to OpenAI</t>
        </is>
      </c>
      <c r="B47" s="21" t="n">
        <v>1</v>
      </c>
      <c r="C47" s="21" t="n">
        <v>1.4</v>
      </c>
      <c r="D47" s="21" t="n">
        <v>1.6</v>
      </c>
      <c r="E47" s="21" t="n">
        <v>1.7</v>
      </c>
      <c r="F47" s="21" t="n">
        <v>1.6</v>
      </c>
      <c r="G47" s="21" t="n">
        <v>1.6</v>
      </c>
      <c r="H47" s="21" t="n">
        <v>1.6</v>
      </c>
      <c r="I47" s="21" t="n">
        <v>1.6</v>
      </c>
      <c r="J47" s="21" t="n">
        <v>1.6</v>
      </c>
    </row>
    <row r="48">
      <c r="A48" s="5" t="inlineStr">
        <is>
          <t>GW shipped to Meta</t>
        </is>
      </c>
      <c r="B48" s="21" t="n">
        <v>1</v>
      </c>
      <c r="C48" s="21" t="n">
        <v>1.4</v>
      </c>
      <c r="D48" s="21" t="n">
        <v>1.6</v>
      </c>
      <c r="E48" s="21" t="n">
        <v>1.8</v>
      </c>
      <c r="F48" s="21" t="n">
        <v>1.6</v>
      </c>
      <c r="G48" s="21" t="n">
        <v>1.6</v>
      </c>
      <c r="H48" s="21" t="n">
        <v>1.6</v>
      </c>
      <c r="I48" s="21" t="n">
        <v>1.6</v>
      </c>
      <c r="J48" s="21" t="n">
        <v>1.6</v>
      </c>
    </row>
    <row r="49">
      <c r="A49" s="5" t="inlineStr">
        <is>
          <t>GW shipped to all other customers</t>
        </is>
      </c>
      <c r="B49" s="21" t="n">
        <v>0.8</v>
      </c>
      <c r="C49" s="21" t="n">
        <v>1.7</v>
      </c>
      <c r="D49" s="21" t="n">
        <v>3</v>
      </c>
      <c r="E49" s="21" t="n">
        <v>4.1</v>
      </c>
      <c r="F49" s="21" t="n">
        <v>5.6</v>
      </c>
      <c r="G49" s="21" t="n">
        <v>6.6</v>
      </c>
      <c r="H49" s="21" t="n">
        <v>7.4</v>
      </c>
      <c r="I49" s="21" t="n">
        <v>8</v>
      </c>
      <c r="J49" s="21" t="n">
        <v>8.4</v>
      </c>
    </row>
    <row r="50">
      <c r="A50" s="5" t="inlineStr">
        <is>
          <t>Revenue per GW ($bn)</t>
        </is>
      </c>
      <c r="B50" s="21" t="n">
        <v>17</v>
      </c>
      <c r="C50" s="21" t="n">
        <v>17</v>
      </c>
      <c r="D50" s="21" t="n">
        <v>17</v>
      </c>
      <c r="E50" s="21" t="n">
        <v>16.5</v>
      </c>
      <c r="F50" s="21" t="n">
        <v>16</v>
      </c>
      <c r="G50" s="21" t="n">
        <v>16</v>
      </c>
      <c r="H50" s="21" t="n">
        <v>15.5</v>
      </c>
      <c r="I50" s="21" t="n">
        <v>15</v>
      </c>
      <c r="J50" s="21" t="n">
        <v>15</v>
      </c>
    </row>
    <row r="51">
      <c r="A51" s="5" t="inlineStr">
        <is>
          <t>Data Center AI gross margin</t>
        </is>
      </c>
      <c r="B51" s="15" t="n">
        <v>0.53</v>
      </c>
      <c r="C51" s="15" t="n">
        <v>0.54</v>
      </c>
      <c r="D51" s="15" t="n">
        <v>0.55</v>
      </c>
      <c r="E51" s="15" t="n">
        <v>0.55</v>
      </c>
      <c r="F51" s="15" t="n">
        <v>0.55</v>
      </c>
      <c r="G51" s="15" t="n">
        <v>0.55</v>
      </c>
      <c r="H51" s="15" t="n">
        <v>0.55</v>
      </c>
      <c r="I51" s="15" t="n">
        <v>0.55</v>
      </c>
      <c r="J51" s="15" t="n">
        <v>0.55</v>
      </c>
    </row>
    <row r="52">
      <c r="A52" s="5" t="inlineStr">
        <is>
          <t>EPYC server CPU revenue ($bn)</t>
        </is>
      </c>
      <c r="B52" s="22" t="n">
        <v>31</v>
      </c>
      <c r="C52" s="22" t="n">
        <v>42</v>
      </c>
      <c r="D52" s="22" t="n">
        <v>52</v>
      </c>
      <c r="E52" s="22" t="n">
        <v>61</v>
      </c>
      <c r="F52" s="22" t="n">
        <v>68</v>
      </c>
      <c r="G52" s="22" t="n">
        <v>74</v>
      </c>
      <c r="H52" s="22" t="n">
        <v>79</v>
      </c>
      <c r="I52" s="22" t="n">
        <v>83</v>
      </c>
      <c r="J52" s="22" t="n">
        <v>87</v>
      </c>
    </row>
    <row r="53">
      <c r="A53" s="5" t="inlineStr">
        <is>
          <t>Client revenue ($bn)</t>
        </is>
      </c>
      <c r="B53" s="22" t="n">
        <v>13.2</v>
      </c>
      <c r="C53" s="22" t="n">
        <v>14.5</v>
      </c>
      <c r="D53" s="22" t="n">
        <v>16</v>
      </c>
      <c r="E53" s="22" t="n">
        <v>17.5</v>
      </c>
      <c r="F53" s="22" t="n">
        <v>19</v>
      </c>
      <c r="G53" s="22" t="n">
        <v>20.5</v>
      </c>
      <c r="H53" s="22" t="n">
        <v>22</v>
      </c>
      <c r="I53" s="22" t="n">
        <v>23.5</v>
      </c>
      <c r="J53" s="22" t="n">
        <v>25</v>
      </c>
    </row>
    <row r="54">
      <c r="A54" s="5" t="inlineStr">
        <is>
          <t>Gaming revenue ($bn)</t>
        </is>
      </c>
      <c r="B54" s="22" t="n">
        <v>3</v>
      </c>
      <c r="C54" s="22" t="n">
        <v>3.8</v>
      </c>
      <c r="D54" s="22" t="n">
        <v>4.2</v>
      </c>
      <c r="E54" s="22" t="n">
        <v>3.8</v>
      </c>
      <c r="F54" s="22" t="n">
        <v>3.5</v>
      </c>
      <c r="G54" s="22" t="n">
        <v>3.8</v>
      </c>
      <c r="H54" s="22" t="n">
        <v>4.1</v>
      </c>
      <c r="I54" s="22" t="n">
        <v>3.9</v>
      </c>
      <c r="J54" s="22" t="n">
        <v>3.7</v>
      </c>
    </row>
    <row r="55">
      <c r="A55" s="5" t="inlineStr">
        <is>
          <t>Embedded revenue ($bn)</t>
        </is>
      </c>
      <c r="B55" s="22" t="n">
        <v>4.6</v>
      </c>
      <c r="C55" s="22" t="n">
        <v>5.2</v>
      </c>
      <c r="D55" s="22" t="n">
        <v>5.8</v>
      </c>
      <c r="E55" s="22" t="n">
        <v>6.4</v>
      </c>
      <c r="F55" s="22" t="n">
        <v>7</v>
      </c>
      <c r="G55" s="22" t="n">
        <v>7.6</v>
      </c>
      <c r="H55" s="22" t="n">
        <v>8.199999999999999</v>
      </c>
      <c r="I55" s="22" t="n">
        <v>8.800000000000001</v>
      </c>
      <c r="J55" s="22" t="n">
        <v>9.4</v>
      </c>
    </row>
    <row r="56">
      <c r="A56" s="5" t="inlineStr">
        <is>
          <t>Operating expenses excl. SBC ($bn)</t>
        </is>
      </c>
      <c r="B56" s="22" t="n">
        <v>18.5</v>
      </c>
      <c r="C56" s="22" t="n">
        <v>22</v>
      </c>
      <c r="D56" s="22" t="n">
        <v>25.5</v>
      </c>
      <c r="E56" s="22" t="n">
        <v>28.5</v>
      </c>
      <c r="F56" s="22" t="n">
        <v>31</v>
      </c>
      <c r="G56" s="22" t="n">
        <v>33.5</v>
      </c>
      <c r="H56" s="22" t="n">
        <v>35.5</v>
      </c>
      <c r="I56" s="22" t="n">
        <v>37.5</v>
      </c>
      <c r="J56" s="22" t="n">
        <v>39.5</v>
      </c>
    </row>
    <row r="57">
      <c r="A57" s="5" t="inlineStr">
        <is>
          <t>Stock-based compensation ($bn)</t>
        </is>
      </c>
      <c r="B57" s="22" t="n">
        <v>2.6</v>
      </c>
      <c r="C57" s="22" t="n">
        <v>3</v>
      </c>
      <c r="D57" s="22" t="n">
        <v>3.4</v>
      </c>
      <c r="E57" s="22" t="n">
        <v>3.8</v>
      </c>
      <c r="F57" s="22" t="n">
        <v>4.2</v>
      </c>
      <c r="G57" s="22" t="n">
        <v>4.6</v>
      </c>
      <c r="H57" s="22" t="n">
        <v>5</v>
      </c>
      <c r="I57" s="22" t="n">
        <v>5.4</v>
      </c>
      <c r="J57" s="22" t="n">
        <v>5.8</v>
      </c>
    </row>
    <row r="58">
      <c r="A58" s="5" t="inlineStr">
        <is>
          <t>EPYC server CPU gross margin</t>
        </is>
      </c>
      <c r="B58" s="15" t="n">
        <v>0.68</v>
      </c>
    </row>
    <row r="59">
      <c r="A59" s="5" t="inlineStr">
        <is>
          <t>OpenAI warrant shares vested by expiry (mm)</t>
        </is>
      </c>
      <c r="B59" s="32">
        <f>MIN(Inputs!$C$34,Inputs!$C$35+SUM(B47:E47))*Inputs!$C$33/Inputs!$C$34</f>
        <v/>
      </c>
    </row>
    <row r="60">
      <c r="A60" s="5" t="inlineStr">
        <is>
          <t>Meta warrant shares vested by expiry (mm)</t>
        </is>
      </c>
      <c r="B60" s="32">
        <f>MIN(Inputs!$C$34,Inputs!$C$36+SUM(B48:E48))*Inputs!$C$33/Inputs!$C$34</f>
        <v/>
      </c>
    </row>
    <row r="61">
      <c r="A61" s="11" t="inlineStr">
        <is>
          <t>Share count incl. World Labs and vested warrants (mm)</t>
        </is>
      </c>
      <c r="B61" s="32">
        <f>Inputs!$C$5+Inputs!$C$6+B59+B60</f>
        <v/>
      </c>
    </row>
    <row r="64">
      <c r="A64" s="11" t="inlineStr">
        <is>
          <t>Shared drivers (all scenarios)</t>
        </is>
      </c>
    </row>
    <row r="65">
      <c r="A65" s="3" t="inlineStr">
        <is>
          <t>Driver</t>
        </is>
      </c>
      <c r="B65" s="4" t="inlineStr">
        <is>
          <t>2027</t>
        </is>
      </c>
      <c r="C65" s="4" t="inlineStr">
        <is>
          <t>2028</t>
        </is>
      </c>
      <c r="D65" s="4" t="inlineStr">
        <is>
          <t>2029</t>
        </is>
      </c>
      <c r="E65" s="4" t="inlineStr">
        <is>
          <t>2030</t>
        </is>
      </c>
      <c r="F65" s="4" t="inlineStr">
        <is>
          <t>2031</t>
        </is>
      </c>
      <c r="G65" s="4" t="inlineStr">
        <is>
          <t>2032</t>
        </is>
      </c>
      <c r="H65" s="4" t="inlineStr">
        <is>
          <t>2033</t>
        </is>
      </c>
      <c r="I65" s="4" t="inlineStr">
        <is>
          <t>2034</t>
        </is>
      </c>
      <c r="J65" s="4" t="inlineStr">
        <is>
          <t>2035</t>
        </is>
      </c>
    </row>
    <row r="66">
      <c r="A66" s="5" t="inlineStr">
        <is>
          <t>Cash tax rate on EBIT</t>
        </is>
      </c>
      <c r="B66" s="15" t="n">
        <v>0.14</v>
      </c>
      <c r="C66" s="15" t="n">
        <v>0.14</v>
      </c>
      <c r="D66" s="15" t="n">
        <v>0.15</v>
      </c>
      <c r="E66" s="15" t="n">
        <v>0.15</v>
      </c>
      <c r="F66" s="15" t="n">
        <v>0.15</v>
      </c>
      <c r="G66" s="15" t="n">
        <v>0.15</v>
      </c>
      <c r="H66" s="15" t="n">
        <v>0.15</v>
      </c>
      <c r="I66" s="15" t="n">
        <v>0.15</v>
      </c>
      <c r="J66" s="15" t="n">
        <v>0.15</v>
      </c>
    </row>
    <row r="67">
      <c r="A67" s="5" t="inlineStr">
        <is>
          <t>Capex, % of revenue</t>
        </is>
      </c>
      <c r="B67" s="15" t="n">
        <v>0.04</v>
      </c>
      <c r="C67" s="15" t="n">
        <v>0.038</v>
      </c>
      <c r="D67" s="15" t="n">
        <v>0.035</v>
      </c>
      <c r="E67" s="15" t="n">
        <v>0.033</v>
      </c>
      <c r="F67" s="15" t="n">
        <v>0.032</v>
      </c>
      <c r="G67" s="15" t="n">
        <v>0.031</v>
      </c>
      <c r="H67" s="15" t="n">
        <v>0.03</v>
      </c>
      <c r="I67" s="15" t="n">
        <v>0.03</v>
      </c>
      <c r="J67" s="15" t="n">
        <v>0.03</v>
      </c>
    </row>
    <row r="68">
      <c r="A68" s="5" t="inlineStr">
        <is>
          <t>D&amp;A excl. acquired intangibles, % of revenue</t>
        </is>
      </c>
      <c r="B68" s="15" t="n">
        <v>0.02</v>
      </c>
      <c r="C68" s="15" t="n">
        <v>0.021</v>
      </c>
      <c r="D68" s="15" t="n">
        <v>0.022</v>
      </c>
      <c r="E68" s="15" t="n">
        <v>0.023</v>
      </c>
      <c r="F68" s="15" t="n">
        <v>0.024</v>
      </c>
      <c r="G68" s="15" t="n">
        <v>0.025</v>
      </c>
      <c r="H68" s="15" t="n">
        <v>0.026</v>
      </c>
      <c r="I68" s="15" t="n">
        <v>0.027</v>
      </c>
      <c r="J68" s="15" t="n">
        <v>0.027</v>
      </c>
    </row>
    <row r="69">
      <c r="A69" s="5" t="inlineStr">
        <is>
          <t>Client gross margin</t>
        </is>
      </c>
      <c r="B69" s="15" t="n">
        <v>0.48</v>
      </c>
    </row>
    <row r="70">
      <c r="A70" s="5" t="inlineStr">
        <is>
          <t>Gaming gross margin</t>
        </is>
      </c>
      <c r="B70" s="15" t="n">
        <v>0.33</v>
      </c>
    </row>
    <row r="71">
      <c r="A71" s="5" t="inlineStr">
        <is>
          <t>Embedded gross margin</t>
        </is>
      </c>
      <c r="B71" s="15" t="n">
        <v>0.62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24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</cols>
  <sheetData>
    <row r="1">
      <c r="A1" s="1" t="inlineStr">
        <is>
          <t>Model: segment build to unlevered free cash flow and DCF ($bn unless noted)</t>
        </is>
      </c>
    </row>
    <row r="2">
      <c r="A2" s="2" t="inlineStr">
        <is>
          <t>SBC is treated as a real cost. Acquisition amortization is excluded (non-cash). Per-share values use each scenario's own share count, including the warrant shares its GW deliveries vest.</t>
        </is>
      </c>
    </row>
    <row r="4">
      <c r="A4" s="11" t="inlineStr">
        <is>
          <t>Bear case</t>
        </is>
      </c>
    </row>
    <row r="5">
      <c r="A5" s="3" t="inlineStr">
        <is>
          <t>Line item</t>
        </is>
      </c>
      <c r="B5" s="4" t="inlineStr"/>
      <c r="C5" s="4" t="inlineStr">
        <is>
          <t>2027</t>
        </is>
      </c>
      <c r="D5" s="4" t="inlineStr">
        <is>
          <t>2028</t>
        </is>
      </c>
      <c r="E5" s="4" t="inlineStr">
        <is>
          <t>2029</t>
        </is>
      </c>
      <c r="F5" s="4" t="inlineStr">
        <is>
          <t>2030</t>
        </is>
      </c>
      <c r="G5" s="4" t="inlineStr">
        <is>
          <t>2031</t>
        </is>
      </c>
      <c r="H5" s="4" t="inlineStr">
        <is>
          <t>2032</t>
        </is>
      </c>
      <c r="I5" s="4" t="inlineStr">
        <is>
          <t>2033</t>
        </is>
      </c>
      <c r="J5" s="4" t="inlineStr">
        <is>
          <t>2034</t>
        </is>
      </c>
      <c r="K5" s="4" t="inlineStr">
        <is>
          <t>2035</t>
        </is>
      </c>
    </row>
    <row r="6">
      <c r="A6" s="5" t="inlineStr">
        <is>
          <t>GW shipped (all customers)</t>
        </is>
      </c>
      <c r="C6" s="33">
        <f>Scenarios!B7+Scenarios!B8+Scenarios!B9</f>
        <v/>
      </c>
      <c r="D6" s="33">
        <f>Scenarios!C7+Scenarios!C8+Scenarios!C9</f>
        <v/>
      </c>
      <c r="E6" s="33">
        <f>Scenarios!D7+Scenarios!D8+Scenarios!D9</f>
        <v/>
      </c>
      <c r="F6" s="33">
        <f>Scenarios!E7+Scenarios!E8+Scenarios!E9</f>
        <v/>
      </c>
      <c r="G6" s="33">
        <f>Scenarios!F7+Scenarios!F8+Scenarios!F9</f>
        <v/>
      </c>
      <c r="H6" s="33">
        <f>Scenarios!G7+Scenarios!G8+Scenarios!G9</f>
        <v/>
      </c>
      <c r="I6" s="33">
        <f>Scenarios!H7+Scenarios!H8+Scenarios!H9</f>
        <v/>
      </c>
      <c r="J6" s="33">
        <f>Scenarios!I7+Scenarios!I8+Scenarios!I9</f>
        <v/>
      </c>
      <c r="K6" s="33">
        <f>Scenarios!J7+Scenarios!J8+Scenarios!J9</f>
        <v/>
      </c>
    </row>
    <row r="7">
      <c r="A7" s="5" t="inlineStr">
        <is>
          <t>Revenue per GW ($bn)</t>
        </is>
      </c>
      <c r="C7" s="33">
        <f>Scenarios!B10</f>
        <v/>
      </c>
      <c r="D7" s="33">
        <f>Scenarios!C10</f>
        <v/>
      </c>
      <c r="E7" s="33">
        <f>Scenarios!D10</f>
        <v/>
      </c>
      <c r="F7" s="33">
        <f>Scenarios!E10</f>
        <v/>
      </c>
      <c r="G7" s="33">
        <f>Scenarios!F10</f>
        <v/>
      </c>
      <c r="H7" s="33">
        <f>Scenarios!G10</f>
        <v/>
      </c>
      <c r="I7" s="33">
        <f>Scenarios!H10</f>
        <v/>
      </c>
      <c r="J7" s="33">
        <f>Scenarios!I10</f>
        <v/>
      </c>
      <c r="K7" s="33">
        <f>Scenarios!J10</f>
        <v/>
      </c>
    </row>
    <row r="8">
      <c r="A8" s="5" t="inlineStr">
        <is>
          <t>Data Center AI (Instinct) revenue</t>
        </is>
      </c>
      <c r="C8" s="23">
        <f>C6*C7</f>
        <v/>
      </c>
      <c r="D8" s="23">
        <f>D6*D7</f>
        <v/>
      </c>
      <c r="E8" s="23">
        <f>E6*E7</f>
        <v/>
      </c>
      <c r="F8" s="23">
        <f>F6*F7</f>
        <v/>
      </c>
      <c r="G8" s="23">
        <f>G6*G7</f>
        <v/>
      </c>
      <c r="H8" s="23">
        <f>H6*H7</f>
        <v/>
      </c>
      <c r="I8" s="23">
        <f>I6*I7</f>
        <v/>
      </c>
      <c r="J8" s="23">
        <f>J6*J7</f>
        <v/>
      </c>
      <c r="K8" s="23">
        <f>K6*K7</f>
        <v/>
      </c>
    </row>
    <row r="9">
      <c r="A9" s="5" t="inlineStr">
        <is>
          <t>EPYC server CPU revenue</t>
        </is>
      </c>
      <c r="C9" s="34">
        <f>Scenarios!B12</f>
        <v/>
      </c>
      <c r="D9" s="34">
        <f>Scenarios!C12</f>
        <v/>
      </c>
      <c r="E9" s="34">
        <f>Scenarios!D12</f>
        <v/>
      </c>
      <c r="F9" s="34">
        <f>Scenarios!E12</f>
        <v/>
      </c>
      <c r="G9" s="34">
        <f>Scenarios!F12</f>
        <v/>
      </c>
      <c r="H9" s="34">
        <f>Scenarios!G12</f>
        <v/>
      </c>
      <c r="I9" s="34">
        <f>Scenarios!H12</f>
        <v/>
      </c>
      <c r="J9" s="34">
        <f>Scenarios!I12</f>
        <v/>
      </c>
      <c r="K9" s="34">
        <f>Scenarios!J12</f>
        <v/>
      </c>
    </row>
    <row r="10">
      <c r="A10" s="5" t="inlineStr">
        <is>
          <t>Client revenue</t>
        </is>
      </c>
      <c r="C10" s="34">
        <f>Scenarios!B13</f>
        <v/>
      </c>
      <c r="D10" s="34">
        <f>Scenarios!C13</f>
        <v/>
      </c>
      <c r="E10" s="34">
        <f>Scenarios!D13</f>
        <v/>
      </c>
      <c r="F10" s="34">
        <f>Scenarios!E13</f>
        <v/>
      </c>
      <c r="G10" s="34">
        <f>Scenarios!F13</f>
        <v/>
      </c>
      <c r="H10" s="34">
        <f>Scenarios!G13</f>
        <v/>
      </c>
      <c r="I10" s="34">
        <f>Scenarios!H13</f>
        <v/>
      </c>
      <c r="J10" s="34">
        <f>Scenarios!I13</f>
        <v/>
      </c>
      <c r="K10" s="34">
        <f>Scenarios!J13</f>
        <v/>
      </c>
    </row>
    <row r="11">
      <c r="A11" s="5" t="inlineStr">
        <is>
          <t>Gaming revenue</t>
        </is>
      </c>
      <c r="C11" s="34">
        <f>Scenarios!B14</f>
        <v/>
      </c>
      <c r="D11" s="34">
        <f>Scenarios!C14</f>
        <v/>
      </c>
      <c r="E11" s="34">
        <f>Scenarios!D14</f>
        <v/>
      </c>
      <c r="F11" s="34">
        <f>Scenarios!E14</f>
        <v/>
      </c>
      <c r="G11" s="34">
        <f>Scenarios!F14</f>
        <v/>
      </c>
      <c r="H11" s="34">
        <f>Scenarios!G14</f>
        <v/>
      </c>
      <c r="I11" s="34">
        <f>Scenarios!H14</f>
        <v/>
      </c>
      <c r="J11" s="34">
        <f>Scenarios!I14</f>
        <v/>
      </c>
      <c r="K11" s="34">
        <f>Scenarios!J14</f>
        <v/>
      </c>
    </row>
    <row r="12">
      <c r="A12" s="5" t="inlineStr">
        <is>
          <t>Embedded revenue</t>
        </is>
      </c>
      <c r="C12" s="34">
        <f>Scenarios!B15</f>
        <v/>
      </c>
      <c r="D12" s="34">
        <f>Scenarios!C15</f>
        <v/>
      </c>
      <c r="E12" s="34">
        <f>Scenarios!D15</f>
        <v/>
      </c>
      <c r="F12" s="34">
        <f>Scenarios!E15</f>
        <v/>
      </c>
      <c r="G12" s="34">
        <f>Scenarios!F15</f>
        <v/>
      </c>
      <c r="H12" s="34">
        <f>Scenarios!G15</f>
        <v/>
      </c>
      <c r="I12" s="34">
        <f>Scenarios!H15</f>
        <v/>
      </c>
      <c r="J12" s="34">
        <f>Scenarios!I15</f>
        <v/>
      </c>
      <c r="K12" s="34">
        <f>Scenarios!J15</f>
        <v/>
      </c>
    </row>
    <row r="13">
      <c r="A13" s="11" t="inlineStr">
        <is>
          <t>Total revenue</t>
        </is>
      </c>
      <c r="C13" s="23">
        <f>C8+C9+C10+C11+C12</f>
        <v/>
      </c>
      <c r="D13" s="23">
        <f>D8+D9+D10+D11+D12</f>
        <v/>
      </c>
      <c r="E13" s="23">
        <f>E8+E9+E10+E11+E12</f>
        <v/>
      </c>
      <c r="F13" s="23">
        <f>F8+F9+F10+F11+F12</f>
        <v/>
      </c>
      <c r="G13" s="23">
        <f>G8+G9+G10+G11+G12</f>
        <v/>
      </c>
      <c r="H13" s="23">
        <f>H8+H9+H10+H11+H12</f>
        <v/>
      </c>
      <c r="I13" s="23">
        <f>I8+I9+I10+I11+I12</f>
        <v/>
      </c>
      <c r="J13" s="23">
        <f>J8+J9+J10+J11+J12</f>
        <v/>
      </c>
      <c r="K13" s="23">
        <f>K8+K9+K10+K11+K12</f>
        <v/>
      </c>
    </row>
    <row r="14">
      <c r="A14" s="5" t="inlineStr">
        <is>
          <t>Data Center AI gross margin</t>
        </is>
      </c>
      <c r="C14" s="6">
        <f>Scenarios!B11</f>
        <v/>
      </c>
      <c r="D14" s="6">
        <f>Scenarios!C11</f>
        <v/>
      </c>
      <c r="E14" s="6">
        <f>Scenarios!D11</f>
        <v/>
      </c>
      <c r="F14" s="6">
        <f>Scenarios!E11</f>
        <v/>
      </c>
      <c r="G14" s="6">
        <f>Scenarios!F11</f>
        <v/>
      </c>
      <c r="H14" s="6">
        <f>Scenarios!G11</f>
        <v/>
      </c>
      <c r="I14" s="6">
        <f>Scenarios!H11</f>
        <v/>
      </c>
      <c r="J14" s="6">
        <f>Scenarios!I11</f>
        <v/>
      </c>
      <c r="K14" s="6">
        <f>Scenarios!J11</f>
        <v/>
      </c>
    </row>
    <row r="15">
      <c r="A15" s="11" t="inlineStr">
        <is>
          <t>Gross profit</t>
        </is>
      </c>
      <c r="C15" s="23">
        <f>C8*C14+C9*Scenarios!$B$18+C10*Scenarios!$B$69+C11*Scenarios!$B$70+C12*Scenarios!$B$71</f>
        <v/>
      </c>
      <c r="D15" s="23">
        <f>D8*D14+D9*Scenarios!$B$18+D10*Scenarios!$B$69+D11*Scenarios!$B$70+D12*Scenarios!$B$71</f>
        <v/>
      </c>
      <c r="E15" s="23">
        <f>E8*E14+E9*Scenarios!$B$18+E10*Scenarios!$B$69+E11*Scenarios!$B$70+E12*Scenarios!$B$71</f>
        <v/>
      </c>
      <c r="F15" s="23">
        <f>F8*F14+F9*Scenarios!$B$18+F10*Scenarios!$B$69+F11*Scenarios!$B$70+F12*Scenarios!$B$71</f>
        <v/>
      </c>
      <c r="G15" s="23">
        <f>G8*G14+G9*Scenarios!$B$18+G10*Scenarios!$B$69+G11*Scenarios!$B$70+G12*Scenarios!$B$71</f>
        <v/>
      </c>
      <c r="H15" s="23">
        <f>H8*H14+H9*Scenarios!$B$18+H10*Scenarios!$B$69+H11*Scenarios!$B$70+H12*Scenarios!$B$71</f>
        <v/>
      </c>
      <c r="I15" s="23">
        <f>I8*I14+I9*Scenarios!$B$18+I10*Scenarios!$B$69+I11*Scenarios!$B$70+I12*Scenarios!$B$71</f>
        <v/>
      </c>
      <c r="J15" s="23">
        <f>J8*J14+J9*Scenarios!$B$18+J10*Scenarios!$B$69+J11*Scenarios!$B$70+J12*Scenarios!$B$71</f>
        <v/>
      </c>
      <c r="K15" s="23">
        <f>K8*K14+K9*Scenarios!$B$18+K10*Scenarios!$B$69+K11*Scenarios!$B$70+K12*Scenarios!$B$71</f>
        <v/>
      </c>
    </row>
    <row r="16">
      <c r="A16" s="5" t="inlineStr">
        <is>
          <t>Gross margin</t>
        </is>
      </c>
      <c r="C16" s="8">
        <f>C15/C13</f>
        <v/>
      </c>
      <c r="D16" s="8">
        <f>D15/D13</f>
        <v/>
      </c>
      <c r="E16" s="8">
        <f>E15/E13</f>
        <v/>
      </c>
      <c r="F16" s="8">
        <f>F15/F13</f>
        <v/>
      </c>
      <c r="G16" s="8">
        <f>G15/G13</f>
        <v/>
      </c>
      <c r="H16" s="8">
        <f>H15/H13</f>
        <v/>
      </c>
      <c r="I16" s="8">
        <f>I15/I13</f>
        <v/>
      </c>
      <c r="J16" s="8">
        <f>J15/J13</f>
        <v/>
      </c>
      <c r="K16" s="8">
        <f>K15/K13</f>
        <v/>
      </c>
    </row>
    <row r="17">
      <c r="A17" s="5" t="inlineStr">
        <is>
          <t>Operating expenses excl. SBC</t>
        </is>
      </c>
      <c r="C17" s="34">
        <f>Scenarios!B16</f>
        <v/>
      </c>
      <c r="D17" s="34">
        <f>Scenarios!C16</f>
        <v/>
      </c>
      <c r="E17" s="34">
        <f>Scenarios!D16</f>
        <v/>
      </c>
      <c r="F17" s="34">
        <f>Scenarios!E16</f>
        <v/>
      </c>
      <c r="G17" s="34">
        <f>Scenarios!F16</f>
        <v/>
      </c>
      <c r="H17" s="34">
        <f>Scenarios!G16</f>
        <v/>
      </c>
      <c r="I17" s="34">
        <f>Scenarios!H16</f>
        <v/>
      </c>
      <c r="J17" s="34">
        <f>Scenarios!I16</f>
        <v/>
      </c>
      <c r="K17" s="34">
        <f>Scenarios!J16</f>
        <v/>
      </c>
    </row>
    <row r="18">
      <c r="A18" s="5" t="inlineStr">
        <is>
          <t>Stock-based compensation</t>
        </is>
      </c>
      <c r="C18" s="34">
        <f>Scenarios!B17</f>
        <v/>
      </c>
      <c r="D18" s="34">
        <f>Scenarios!C17</f>
        <v/>
      </c>
      <c r="E18" s="34">
        <f>Scenarios!D17</f>
        <v/>
      </c>
      <c r="F18" s="34">
        <f>Scenarios!E17</f>
        <v/>
      </c>
      <c r="G18" s="34">
        <f>Scenarios!F17</f>
        <v/>
      </c>
      <c r="H18" s="34">
        <f>Scenarios!G17</f>
        <v/>
      </c>
      <c r="I18" s="34">
        <f>Scenarios!H17</f>
        <v/>
      </c>
      <c r="J18" s="34">
        <f>Scenarios!I17</f>
        <v/>
      </c>
      <c r="K18" s="34">
        <f>Scenarios!J17</f>
        <v/>
      </c>
    </row>
    <row r="19">
      <c r="A19" s="11" t="inlineStr">
        <is>
          <t>EBIT (SBC expensed)</t>
        </is>
      </c>
      <c r="C19" s="23">
        <f>C15-C17-C18</f>
        <v/>
      </c>
      <c r="D19" s="23">
        <f>D15-D17-D18</f>
        <v/>
      </c>
      <c r="E19" s="23">
        <f>E15-E17-E18</f>
        <v/>
      </c>
      <c r="F19" s="23">
        <f>F15-F17-F18</f>
        <v/>
      </c>
      <c r="G19" s="23">
        <f>G15-G17-G18</f>
        <v/>
      </c>
      <c r="H19" s="23">
        <f>H15-H17-H18</f>
        <v/>
      </c>
      <c r="I19" s="23">
        <f>I15-I17-I18</f>
        <v/>
      </c>
      <c r="J19" s="23">
        <f>J15-J17-J18</f>
        <v/>
      </c>
      <c r="K19" s="23">
        <f>K15-K17-K18</f>
        <v/>
      </c>
    </row>
    <row r="20">
      <c r="A20" s="5" t="inlineStr">
        <is>
          <t>EBIT margin</t>
        </is>
      </c>
      <c r="C20" s="8">
        <f>C19/C13</f>
        <v/>
      </c>
      <c r="D20" s="8">
        <f>D19/D13</f>
        <v/>
      </c>
      <c r="E20" s="8">
        <f>E19/E13</f>
        <v/>
      </c>
      <c r="F20" s="8">
        <f>F19/F13</f>
        <v/>
      </c>
      <c r="G20" s="8">
        <f>G19/G13</f>
        <v/>
      </c>
      <c r="H20" s="8">
        <f>H19/H13</f>
        <v/>
      </c>
      <c r="I20" s="8">
        <f>I19/I13</f>
        <v/>
      </c>
      <c r="J20" s="8">
        <f>J19/J13</f>
        <v/>
      </c>
      <c r="K20" s="8">
        <f>K19/K13</f>
        <v/>
      </c>
    </row>
    <row r="21">
      <c r="A21" s="5" t="inlineStr">
        <is>
          <t>D&amp;A excl. acquired intangibles</t>
        </is>
      </c>
      <c r="C21" s="23">
        <f>C13*Scenarios!B68</f>
        <v/>
      </c>
      <c r="D21" s="23">
        <f>D13*Scenarios!C68</f>
        <v/>
      </c>
      <c r="E21" s="23">
        <f>E13*Scenarios!D68</f>
        <v/>
      </c>
      <c r="F21" s="23">
        <f>F13*Scenarios!E68</f>
        <v/>
      </c>
      <c r="G21" s="23">
        <f>G13*Scenarios!F68</f>
        <v/>
      </c>
      <c r="H21" s="23">
        <f>H13*Scenarios!G68</f>
        <v/>
      </c>
      <c r="I21" s="23">
        <f>I13*Scenarios!H68</f>
        <v/>
      </c>
      <c r="J21" s="23">
        <f>J13*Scenarios!I68</f>
        <v/>
      </c>
      <c r="K21" s="23">
        <f>K13*Scenarios!J68</f>
        <v/>
      </c>
    </row>
    <row r="22">
      <c r="A22" s="11" t="inlineStr">
        <is>
          <t>EBITDA</t>
        </is>
      </c>
      <c r="C22" s="23">
        <f>C19+C21</f>
        <v/>
      </c>
      <c r="D22" s="23">
        <f>D19+D21</f>
        <v/>
      </c>
      <c r="E22" s="23">
        <f>E19+E21</f>
        <v/>
      </c>
      <c r="F22" s="23">
        <f>F19+F21</f>
        <v/>
      </c>
      <c r="G22" s="23">
        <f>G19+G21</f>
        <v/>
      </c>
      <c r="H22" s="23">
        <f>H19+H21</f>
        <v/>
      </c>
      <c r="I22" s="23">
        <f>I19+I21</f>
        <v/>
      </c>
      <c r="J22" s="23">
        <f>J19+J21</f>
        <v/>
      </c>
      <c r="K22" s="23">
        <f>K19+K21</f>
        <v/>
      </c>
    </row>
    <row r="23">
      <c r="A23" s="5" t="inlineStr">
        <is>
          <t>Cash taxes</t>
        </is>
      </c>
      <c r="C23" s="23">
        <f>MAX(0,C19)*Scenarios!B66</f>
        <v/>
      </c>
      <c r="D23" s="23">
        <f>MAX(0,D19)*Scenarios!C66</f>
        <v/>
      </c>
      <c r="E23" s="23">
        <f>MAX(0,E19)*Scenarios!D66</f>
        <v/>
      </c>
      <c r="F23" s="23">
        <f>MAX(0,F19)*Scenarios!E66</f>
        <v/>
      </c>
      <c r="G23" s="23">
        <f>MAX(0,G19)*Scenarios!F66</f>
        <v/>
      </c>
      <c r="H23" s="23">
        <f>MAX(0,H19)*Scenarios!G66</f>
        <v/>
      </c>
      <c r="I23" s="23">
        <f>MAX(0,I19)*Scenarios!H66</f>
        <v/>
      </c>
      <c r="J23" s="23">
        <f>MAX(0,J19)*Scenarios!I66</f>
        <v/>
      </c>
      <c r="K23" s="23">
        <f>MAX(0,K19)*Scenarios!J66</f>
        <v/>
      </c>
    </row>
    <row r="24">
      <c r="A24" s="5" t="inlineStr">
        <is>
          <t>Capital expenditures</t>
        </is>
      </c>
      <c r="C24" s="23">
        <f>C13*Scenarios!B67</f>
        <v/>
      </c>
      <c r="D24" s="23">
        <f>D13*Scenarios!C67</f>
        <v/>
      </c>
      <c r="E24" s="23">
        <f>E13*Scenarios!D67</f>
        <v/>
      </c>
      <c r="F24" s="23">
        <f>F13*Scenarios!E67</f>
        <v/>
      </c>
      <c r="G24" s="23">
        <f>G13*Scenarios!F67</f>
        <v/>
      </c>
      <c r="H24" s="23">
        <f>H13*Scenarios!G67</f>
        <v/>
      </c>
      <c r="I24" s="23">
        <f>I13*Scenarios!H67</f>
        <v/>
      </c>
      <c r="J24" s="23">
        <f>J13*Scenarios!I67</f>
        <v/>
      </c>
      <c r="K24" s="23">
        <f>K13*Scenarios!J67</f>
        <v/>
      </c>
    </row>
    <row r="25">
      <c r="A25" s="5" t="inlineStr">
        <is>
          <t>Change in net working capital</t>
        </is>
      </c>
      <c r="C25" s="23">
        <f>Inputs!$C$31*(C13-Inputs!$C$13)</f>
        <v/>
      </c>
      <c r="D25" s="23">
        <f>Inputs!$C$31*(D13-C13)</f>
        <v/>
      </c>
      <c r="E25" s="23">
        <f>Inputs!$C$31*(E13-D13)</f>
        <v/>
      </c>
      <c r="F25" s="23">
        <f>Inputs!$C$31*(F13-E13)</f>
        <v/>
      </c>
      <c r="G25" s="23">
        <f>Inputs!$C$31*(G13-F13)</f>
        <v/>
      </c>
      <c r="H25" s="23">
        <f>Inputs!$C$31*(H13-G13)</f>
        <v/>
      </c>
      <c r="I25" s="23">
        <f>Inputs!$C$31*(I13-H13)</f>
        <v/>
      </c>
      <c r="J25" s="23">
        <f>Inputs!$C$31*(J13-I13)</f>
        <v/>
      </c>
      <c r="K25" s="23">
        <f>Inputs!$C$31*(K13-J13)</f>
        <v/>
      </c>
    </row>
    <row r="26">
      <c r="A26" s="11" t="inlineStr">
        <is>
          <t>Unlevered free cash flow</t>
        </is>
      </c>
      <c r="C26" s="23">
        <f>C19-C23+C21-C24-C25</f>
        <v/>
      </c>
      <c r="D26" s="23">
        <f>D19-D23+D21-D24-D25</f>
        <v/>
      </c>
      <c r="E26" s="23">
        <f>E19-E23+E21-E24-E25</f>
        <v/>
      </c>
      <c r="F26" s="23">
        <f>F19-F23+F21-F24-F25</f>
        <v/>
      </c>
      <c r="G26" s="23">
        <f>G19-G23+G21-G24-G25</f>
        <v/>
      </c>
      <c r="H26" s="23">
        <f>H19-H23+H21-H24-H25</f>
        <v/>
      </c>
      <c r="I26" s="23">
        <f>I19-I23+I21-I24-I25</f>
        <v/>
      </c>
      <c r="J26" s="23">
        <f>J19-J23+J21-J24-J25</f>
        <v/>
      </c>
      <c r="K26" s="23">
        <f>K19-K23+K21-K24-K25</f>
        <v/>
      </c>
    </row>
    <row r="27">
      <c r="A27" s="5" t="inlineStr">
        <is>
          <t>Discount period (years)</t>
        </is>
      </c>
      <c r="C27" s="26">
        <f>2027+0.5-Inputs!$C$12</f>
        <v/>
      </c>
      <c r="D27" s="26">
        <f>2028+0.5-Inputs!$C$12</f>
        <v/>
      </c>
      <c r="E27" s="26">
        <f>2029+0.5-Inputs!$C$12</f>
        <v/>
      </c>
      <c r="F27" s="26">
        <f>2030+0.5-Inputs!$C$12</f>
        <v/>
      </c>
      <c r="G27" s="26">
        <f>2031+0.5-Inputs!$C$12</f>
        <v/>
      </c>
      <c r="H27" s="26">
        <f>2032+0.5-Inputs!$C$12</f>
        <v/>
      </c>
      <c r="I27" s="26">
        <f>2033+0.5-Inputs!$C$12</f>
        <v/>
      </c>
      <c r="J27" s="26">
        <f>2034+0.5-Inputs!$C$12</f>
        <v/>
      </c>
      <c r="K27" s="26">
        <f>2035+0.5-Inputs!$C$12</f>
        <v/>
      </c>
    </row>
    <row r="28">
      <c r="A28" s="5" t="inlineStr">
        <is>
          <t>Discount factor</t>
        </is>
      </c>
      <c r="C28" s="35">
        <f>1/(1+Inputs!$C$25)^C27</f>
        <v/>
      </c>
      <c r="D28" s="35">
        <f>1/(1+Inputs!$C$25)^D27</f>
        <v/>
      </c>
      <c r="E28" s="35">
        <f>1/(1+Inputs!$C$25)^E27</f>
        <v/>
      </c>
      <c r="F28" s="35">
        <f>1/(1+Inputs!$C$25)^F27</f>
        <v/>
      </c>
      <c r="G28" s="35">
        <f>1/(1+Inputs!$C$25)^G27</f>
        <v/>
      </c>
      <c r="H28" s="35">
        <f>1/(1+Inputs!$C$25)^H27</f>
        <v/>
      </c>
      <c r="I28" s="35">
        <f>1/(1+Inputs!$C$25)^I27</f>
        <v/>
      </c>
      <c r="J28" s="35">
        <f>1/(1+Inputs!$C$25)^J27</f>
        <v/>
      </c>
      <c r="K28" s="35">
        <f>1/(1+Inputs!$C$25)^K27</f>
        <v/>
      </c>
    </row>
    <row r="29">
      <c r="A29" s="11" t="inlineStr">
        <is>
          <t>PV of unlevered FCF</t>
        </is>
      </c>
      <c r="C29" s="23">
        <f>C26*C28</f>
        <v/>
      </c>
      <c r="D29" s="23">
        <f>D26*D28</f>
        <v/>
      </c>
      <c r="E29" s="23">
        <f>E26*E28</f>
        <v/>
      </c>
      <c r="F29" s="23">
        <f>F26*F28</f>
        <v/>
      </c>
      <c r="G29" s="23">
        <f>G26*G28</f>
        <v/>
      </c>
      <c r="H29" s="23">
        <f>H26*H28</f>
        <v/>
      </c>
      <c r="I29" s="23">
        <f>I26*I28</f>
        <v/>
      </c>
      <c r="J29" s="23">
        <f>J26*J28</f>
        <v/>
      </c>
      <c r="K29" s="23">
        <f>K26*K28</f>
        <v/>
      </c>
    </row>
    <row r="31">
      <c r="A31" s="5" t="inlineStr">
        <is>
          <t>Normalized terminal FCF (2035)</t>
        </is>
      </c>
      <c r="C31" s="23">
        <f>K19*(1-Inputs!$C$29)+K21*(1-Inputs!$C$30)-Inputs!$C$31*K13*Inputs!$C$28</f>
        <v/>
      </c>
    </row>
    <row r="32">
      <c r="A32" s="5" t="inlineStr">
        <is>
          <t>Terminal value, exit multiple</t>
        </is>
      </c>
      <c r="C32" s="23">
        <f>K22*Inputs!$C$27</f>
        <v/>
      </c>
    </row>
    <row r="33">
      <c r="A33" s="5" t="inlineStr">
        <is>
          <t>Terminal value, perpetual growth (cross-check)</t>
        </is>
      </c>
      <c r="C33" s="23">
        <f>$C$31*(1+Inputs!$C$28)/(Inputs!$C$25-Inputs!$C$28)</f>
        <v/>
      </c>
    </row>
    <row r="34">
      <c r="A34" s="5" t="inlineStr">
        <is>
          <t>PV of 2027-2035 FCF + H2 2026 stub</t>
        </is>
      </c>
      <c r="C34" s="23">
        <f>SUM(C29:K29)+Inputs!$C$11</f>
        <v/>
      </c>
    </row>
    <row r="35">
      <c r="A35" s="5" t="inlineStr">
        <is>
          <t>PV of terminal value (exit multiple, end-2035 value)</t>
        </is>
      </c>
      <c r="C35" s="23">
        <f>$C$32/(1+Inputs!$C$25)^(K27+0.5)</f>
        <v/>
      </c>
    </row>
    <row r="36">
      <c r="A36" s="36" t="inlineStr">
        <is>
          <t>Enterprise value</t>
        </is>
      </c>
      <c r="C36" s="37">
        <f>$C$34+$C$35</f>
        <v/>
      </c>
    </row>
    <row r="37">
      <c r="A37" s="5" t="inlineStr">
        <is>
          <t>Equity value</t>
        </is>
      </c>
      <c r="C37" s="23">
        <f>$C$36+Inputs!$C$9</f>
        <v/>
      </c>
    </row>
    <row r="38">
      <c r="A38" s="5" t="inlineStr">
        <is>
          <t>DCF value per share ($)</t>
        </is>
      </c>
      <c r="C38" s="10">
        <f>MAX(0,$C$37*1000/Scenarios!$B$21)</f>
        <v/>
      </c>
    </row>
    <row r="39">
      <c r="A39" s="5" t="inlineStr">
        <is>
          <t>Strategic floor per share ($)</t>
        </is>
      </c>
      <c r="C39" s="19" t="n">
        <v>0</v>
      </c>
    </row>
    <row r="40">
      <c r="A40" s="36" t="inlineStr">
        <is>
          <t>Value per share ($)</t>
        </is>
      </c>
      <c r="C40" s="38">
        <f>MAX($C$38,$C$39)</f>
        <v/>
      </c>
    </row>
    <row r="41">
      <c r="A41" s="5" t="inlineStr">
        <is>
          <t>Cross-check: value per share at perpetual growth ($)</t>
        </is>
      </c>
      <c r="C41" s="10">
        <f>MAX(0,($C$34+$C$33*K28+Inputs!$C$9)*1000/Scenarios!$B$21)</f>
        <v/>
      </c>
    </row>
    <row r="42">
      <c r="A42" s="5" t="inlineStr">
        <is>
          <t>Perpetual growth implied by the exit multiple</t>
        </is>
      </c>
      <c r="C42" s="8">
        <f>($C$32*Inputs!$C$25-$C$31)/($C$32+$C$31)</f>
        <v/>
      </c>
    </row>
    <row r="45">
      <c r="A45" s="11" t="inlineStr">
        <is>
          <t>Base case</t>
        </is>
      </c>
    </row>
    <row r="46">
      <c r="A46" s="3" t="inlineStr">
        <is>
          <t>Line item</t>
        </is>
      </c>
      <c r="B46" s="4" t="inlineStr"/>
      <c r="C46" s="4" t="inlineStr">
        <is>
          <t>2027</t>
        </is>
      </c>
      <c r="D46" s="4" t="inlineStr">
        <is>
          <t>2028</t>
        </is>
      </c>
      <c r="E46" s="4" t="inlineStr">
        <is>
          <t>2029</t>
        </is>
      </c>
      <c r="F46" s="4" t="inlineStr">
        <is>
          <t>2030</t>
        </is>
      </c>
      <c r="G46" s="4" t="inlineStr">
        <is>
          <t>2031</t>
        </is>
      </c>
      <c r="H46" s="4" t="inlineStr">
        <is>
          <t>2032</t>
        </is>
      </c>
      <c r="I46" s="4" t="inlineStr">
        <is>
          <t>2033</t>
        </is>
      </c>
      <c r="J46" s="4" t="inlineStr">
        <is>
          <t>2034</t>
        </is>
      </c>
      <c r="K46" s="4" t="inlineStr">
        <is>
          <t>2035</t>
        </is>
      </c>
    </row>
    <row r="47">
      <c r="A47" s="5" t="inlineStr">
        <is>
          <t>GW shipped (all customers)</t>
        </is>
      </c>
      <c r="C47" s="33">
        <f>Scenarios!B27+Scenarios!B28+Scenarios!B29</f>
        <v/>
      </c>
      <c r="D47" s="33">
        <f>Scenarios!C27+Scenarios!C28+Scenarios!C29</f>
        <v/>
      </c>
      <c r="E47" s="33">
        <f>Scenarios!D27+Scenarios!D28+Scenarios!D29</f>
        <v/>
      </c>
      <c r="F47" s="33">
        <f>Scenarios!E27+Scenarios!E28+Scenarios!E29</f>
        <v/>
      </c>
      <c r="G47" s="33">
        <f>Scenarios!F27+Scenarios!F28+Scenarios!F29</f>
        <v/>
      </c>
      <c r="H47" s="33">
        <f>Scenarios!G27+Scenarios!G28+Scenarios!G29</f>
        <v/>
      </c>
      <c r="I47" s="33">
        <f>Scenarios!H27+Scenarios!H28+Scenarios!H29</f>
        <v/>
      </c>
      <c r="J47" s="33">
        <f>Scenarios!I27+Scenarios!I28+Scenarios!I29</f>
        <v/>
      </c>
      <c r="K47" s="33">
        <f>Scenarios!J27+Scenarios!J28+Scenarios!J29</f>
        <v/>
      </c>
    </row>
    <row r="48">
      <c r="A48" s="5" t="inlineStr">
        <is>
          <t>Revenue per GW ($bn)</t>
        </is>
      </c>
      <c r="C48" s="33">
        <f>Scenarios!B30</f>
        <v/>
      </c>
      <c r="D48" s="33">
        <f>Scenarios!C30</f>
        <v/>
      </c>
      <c r="E48" s="33">
        <f>Scenarios!D30</f>
        <v/>
      </c>
      <c r="F48" s="33">
        <f>Scenarios!E30</f>
        <v/>
      </c>
      <c r="G48" s="33">
        <f>Scenarios!F30</f>
        <v/>
      </c>
      <c r="H48" s="33">
        <f>Scenarios!G30</f>
        <v/>
      </c>
      <c r="I48" s="33">
        <f>Scenarios!H30</f>
        <v/>
      </c>
      <c r="J48" s="33">
        <f>Scenarios!I30</f>
        <v/>
      </c>
      <c r="K48" s="33">
        <f>Scenarios!J30</f>
        <v/>
      </c>
    </row>
    <row r="49">
      <c r="A49" s="5" t="inlineStr">
        <is>
          <t>Data Center AI (Instinct) revenue</t>
        </is>
      </c>
      <c r="C49" s="23">
        <f>C47*C48</f>
        <v/>
      </c>
      <c r="D49" s="23">
        <f>D47*D48</f>
        <v/>
      </c>
      <c r="E49" s="23">
        <f>E47*E48</f>
        <v/>
      </c>
      <c r="F49" s="23">
        <f>F47*F48</f>
        <v/>
      </c>
      <c r="G49" s="23">
        <f>G47*G48</f>
        <v/>
      </c>
      <c r="H49" s="23">
        <f>H47*H48</f>
        <v/>
      </c>
      <c r="I49" s="23">
        <f>I47*I48</f>
        <v/>
      </c>
      <c r="J49" s="23">
        <f>J47*J48</f>
        <v/>
      </c>
      <c r="K49" s="23">
        <f>K47*K48</f>
        <v/>
      </c>
    </row>
    <row r="50">
      <c r="A50" s="5" t="inlineStr">
        <is>
          <t>EPYC server CPU revenue</t>
        </is>
      </c>
      <c r="C50" s="34">
        <f>Scenarios!B32</f>
        <v/>
      </c>
      <c r="D50" s="34">
        <f>Scenarios!C32</f>
        <v/>
      </c>
      <c r="E50" s="34">
        <f>Scenarios!D32</f>
        <v/>
      </c>
      <c r="F50" s="34">
        <f>Scenarios!E32</f>
        <v/>
      </c>
      <c r="G50" s="34">
        <f>Scenarios!F32</f>
        <v/>
      </c>
      <c r="H50" s="34">
        <f>Scenarios!G32</f>
        <v/>
      </c>
      <c r="I50" s="34">
        <f>Scenarios!H32</f>
        <v/>
      </c>
      <c r="J50" s="34">
        <f>Scenarios!I32</f>
        <v/>
      </c>
      <c r="K50" s="34">
        <f>Scenarios!J32</f>
        <v/>
      </c>
    </row>
    <row r="51">
      <c r="A51" s="5" t="inlineStr">
        <is>
          <t>Client revenue</t>
        </is>
      </c>
      <c r="C51" s="34">
        <f>Scenarios!B33</f>
        <v/>
      </c>
      <c r="D51" s="34">
        <f>Scenarios!C33</f>
        <v/>
      </c>
      <c r="E51" s="34">
        <f>Scenarios!D33</f>
        <v/>
      </c>
      <c r="F51" s="34">
        <f>Scenarios!E33</f>
        <v/>
      </c>
      <c r="G51" s="34">
        <f>Scenarios!F33</f>
        <v/>
      </c>
      <c r="H51" s="34">
        <f>Scenarios!G33</f>
        <v/>
      </c>
      <c r="I51" s="34">
        <f>Scenarios!H33</f>
        <v/>
      </c>
      <c r="J51" s="34">
        <f>Scenarios!I33</f>
        <v/>
      </c>
      <c r="K51" s="34">
        <f>Scenarios!J33</f>
        <v/>
      </c>
    </row>
    <row r="52">
      <c r="A52" s="5" t="inlineStr">
        <is>
          <t>Gaming revenue</t>
        </is>
      </c>
      <c r="C52" s="34">
        <f>Scenarios!B34</f>
        <v/>
      </c>
      <c r="D52" s="34">
        <f>Scenarios!C34</f>
        <v/>
      </c>
      <c r="E52" s="34">
        <f>Scenarios!D34</f>
        <v/>
      </c>
      <c r="F52" s="34">
        <f>Scenarios!E34</f>
        <v/>
      </c>
      <c r="G52" s="34">
        <f>Scenarios!F34</f>
        <v/>
      </c>
      <c r="H52" s="34">
        <f>Scenarios!G34</f>
        <v/>
      </c>
      <c r="I52" s="34">
        <f>Scenarios!H34</f>
        <v/>
      </c>
      <c r="J52" s="34">
        <f>Scenarios!I34</f>
        <v/>
      </c>
      <c r="K52" s="34">
        <f>Scenarios!J34</f>
        <v/>
      </c>
    </row>
    <row r="53">
      <c r="A53" s="5" t="inlineStr">
        <is>
          <t>Embedded revenue</t>
        </is>
      </c>
      <c r="C53" s="34">
        <f>Scenarios!B35</f>
        <v/>
      </c>
      <c r="D53" s="34">
        <f>Scenarios!C35</f>
        <v/>
      </c>
      <c r="E53" s="34">
        <f>Scenarios!D35</f>
        <v/>
      </c>
      <c r="F53" s="34">
        <f>Scenarios!E35</f>
        <v/>
      </c>
      <c r="G53" s="34">
        <f>Scenarios!F35</f>
        <v/>
      </c>
      <c r="H53" s="34">
        <f>Scenarios!G35</f>
        <v/>
      </c>
      <c r="I53" s="34">
        <f>Scenarios!H35</f>
        <v/>
      </c>
      <c r="J53" s="34">
        <f>Scenarios!I35</f>
        <v/>
      </c>
      <c r="K53" s="34">
        <f>Scenarios!J35</f>
        <v/>
      </c>
    </row>
    <row r="54">
      <c r="A54" s="11" t="inlineStr">
        <is>
          <t>Total revenue</t>
        </is>
      </c>
      <c r="C54" s="23">
        <f>C49+C50+C51+C52+C53</f>
        <v/>
      </c>
      <c r="D54" s="23">
        <f>D49+D50+D51+D52+D53</f>
        <v/>
      </c>
      <c r="E54" s="23">
        <f>E49+E50+E51+E52+E53</f>
        <v/>
      </c>
      <c r="F54" s="23">
        <f>F49+F50+F51+F52+F53</f>
        <v/>
      </c>
      <c r="G54" s="23">
        <f>G49+G50+G51+G52+G53</f>
        <v/>
      </c>
      <c r="H54" s="23">
        <f>H49+H50+H51+H52+H53</f>
        <v/>
      </c>
      <c r="I54" s="23">
        <f>I49+I50+I51+I52+I53</f>
        <v/>
      </c>
      <c r="J54" s="23">
        <f>J49+J50+J51+J52+J53</f>
        <v/>
      </c>
      <c r="K54" s="23">
        <f>K49+K50+K51+K52+K53</f>
        <v/>
      </c>
    </row>
    <row r="55">
      <c r="A55" s="5" t="inlineStr">
        <is>
          <t>Data Center AI gross margin</t>
        </is>
      </c>
      <c r="C55" s="6">
        <f>Scenarios!B31</f>
        <v/>
      </c>
      <c r="D55" s="6">
        <f>Scenarios!C31</f>
        <v/>
      </c>
      <c r="E55" s="6">
        <f>Scenarios!D31</f>
        <v/>
      </c>
      <c r="F55" s="6">
        <f>Scenarios!E31</f>
        <v/>
      </c>
      <c r="G55" s="6">
        <f>Scenarios!F31</f>
        <v/>
      </c>
      <c r="H55" s="6">
        <f>Scenarios!G31</f>
        <v/>
      </c>
      <c r="I55" s="6">
        <f>Scenarios!H31</f>
        <v/>
      </c>
      <c r="J55" s="6">
        <f>Scenarios!I31</f>
        <v/>
      </c>
      <c r="K55" s="6">
        <f>Scenarios!J31</f>
        <v/>
      </c>
    </row>
    <row r="56">
      <c r="A56" s="11" t="inlineStr">
        <is>
          <t>Gross profit</t>
        </is>
      </c>
      <c r="C56" s="23">
        <f>C49*C55+C50*Scenarios!$B$38+C51*Scenarios!$B$69+C52*Scenarios!$B$70+C53*Scenarios!$B$71</f>
        <v/>
      </c>
      <c r="D56" s="23">
        <f>D49*D55+D50*Scenarios!$B$38+D51*Scenarios!$B$69+D52*Scenarios!$B$70+D53*Scenarios!$B$71</f>
        <v/>
      </c>
      <c r="E56" s="23">
        <f>E49*E55+E50*Scenarios!$B$38+E51*Scenarios!$B$69+E52*Scenarios!$B$70+E53*Scenarios!$B$71</f>
        <v/>
      </c>
      <c r="F56" s="23">
        <f>F49*F55+F50*Scenarios!$B$38+F51*Scenarios!$B$69+F52*Scenarios!$B$70+F53*Scenarios!$B$71</f>
        <v/>
      </c>
      <c r="G56" s="23">
        <f>G49*G55+G50*Scenarios!$B$38+G51*Scenarios!$B$69+G52*Scenarios!$B$70+G53*Scenarios!$B$71</f>
        <v/>
      </c>
      <c r="H56" s="23">
        <f>H49*H55+H50*Scenarios!$B$38+H51*Scenarios!$B$69+H52*Scenarios!$B$70+H53*Scenarios!$B$71</f>
        <v/>
      </c>
      <c r="I56" s="23">
        <f>I49*I55+I50*Scenarios!$B$38+I51*Scenarios!$B$69+I52*Scenarios!$B$70+I53*Scenarios!$B$71</f>
        <v/>
      </c>
      <c r="J56" s="23">
        <f>J49*J55+J50*Scenarios!$B$38+J51*Scenarios!$B$69+J52*Scenarios!$B$70+J53*Scenarios!$B$71</f>
        <v/>
      </c>
      <c r="K56" s="23">
        <f>K49*K55+K50*Scenarios!$B$38+K51*Scenarios!$B$69+K52*Scenarios!$B$70+K53*Scenarios!$B$71</f>
        <v/>
      </c>
    </row>
    <row r="57">
      <c r="A57" s="5" t="inlineStr">
        <is>
          <t>Gross margin</t>
        </is>
      </c>
      <c r="C57" s="8">
        <f>C56/C54</f>
        <v/>
      </c>
      <c r="D57" s="8">
        <f>D56/D54</f>
        <v/>
      </c>
      <c r="E57" s="8">
        <f>E56/E54</f>
        <v/>
      </c>
      <c r="F57" s="8">
        <f>F56/F54</f>
        <v/>
      </c>
      <c r="G57" s="8">
        <f>G56/G54</f>
        <v/>
      </c>
      <c r="H57" s="8">
        <f>H56/H54</f>
        <v/>
      </c>
      <c r="I57" s="8">
        <f>I56/I54</f>
        <v/>
      </c>
      <c r="J57" s="8">
        <f>J56/J54</f>
        <v/>
      </c>
      <c r="K57" s="8">
        <f>K56/K54</f>
        <v/>
      </c>
    </row>
    <row r="58">
      <c r="A58" s="5" t="inlineStr">
        <is>
          <t>Operating expenses excl. SBC</t>
        </is>
      </c>
      <c r="C58" s="34">
        <f>Scenarios!B36</f>
        <v/>
      </c>
      <c r="D58" s="34">
        <f>Scenarios!C36</f>
        <v/>
      </c>
      <c r="E58" s="34">
        <f>Scenarios!D36</f>
        <v/>
      </c>
      <c r="F58" s="34">
        <f>Scenarios!E36</f>
        <v/>
      </c>
      <c r="G58" s="34">
        <f>Scenarios!F36</f>
        <v/>
      </c>
      <c r="H58" s="34">
        <f>Scenarios!G36</f>
        <v/>
      </c>
      <c r="I58" s="34">
        <f>Scenarios!H36</f>
        <v/>
      </c>
      <c r="J58" s="34">
        <f>Scenarios!I36</f>
        <v/>
      </c>
      <c r="K58" s="34">
        <f>Scenarios!J36</f>
        <v/>
      </c>
    </row>
    <row r="59">
      <c r="A59" s="5" t="inlineStr">
        <is>
          <t>Stock-based compensation</t>
        </is>
      </c>
      <c r="C59" s="34">
        <f>Scenarios!B37</f>
        <v/>
      </c>
      <c r="D59" s="34">
        <f>Scenarios!C37</f>
        <v/>
      </c>
      <c r="E59" s="34">
        <f>Scenarios!D37</f>
        <v/>
      </c>
      <c r="F59" s="34">
        <f>Scenarios!E37</f>
        <v/>
      </c>
      <c r="G59" s="34">
        <f>Scenarios!F37</f>
        <v/>
      </c>
      <c r="H59" s="34">
        <f>Scenarios!G37</f>
        <v/>
      </c>
      <c r="I59" s="34">
        <f>Scenarios!H37</f>
        <v/>
      </c>
      <c r="J59" s="34">
        <f>Scenarios!I37</f>
        <v/>
      </c>
      <c r="K59" s="34">
        <f>Scenarios!J37</f>
        <v/>
      </c>
    </row>
    <row r="60">
      <c r="A60" s="11" t="inlineStr">
        <is>
          <t>EBIT (SBC expensed)</t>
        </is>
      </c>
      <c r="C60" s="23">
        <f>C56-C58-C59</f>
        <v/>
      </c>
      <c r="D60" s="23">
        <f>D56-D58-D59</f>
        <v/>
      </c>
      <c r="E60" s="23">
        <f>E56-E58-E59</f>
        <v/>
      </c>
      <c r="F60" s="23">
        <f>F56-F58-F59</f>
        <v/>
      </c>
      <c r="G60" s="23">
        <f>G56-G58-G59</f>
        <v/>
      </c>
      <c r="H60" s="23">
        <f>H56-H58-H59</f>
        <v/>
      </c>
      <c r="I60" s="23">
        <f>I56-I58-I59</f>
        <v/>
      </c>
      <c r="J60" s="23">
        <f>J56-J58-J59</f>
        <v/>
      </c>
      <c r="K60" s="23">
        <f>K56-K58-K59</f>
        <v/>
      </c>
    </row>
    <row r="61">
      <c r="A61" s="5" t="inlineStr">
        <is>
          <t>EBIT margin</t>
        </is>
      </c>
      <c r="C61" s="8">
        <f>C60/C54</f>
        <v/>
      </c>
      <c r="D61" s="8">
        <f>D60/D54</f>
        <v/>
      </c>
      <c r="E61" s="8">
        <f>E60/E54</f>
        <v/>
      </c>
      <c r="F61" s="8">
        <f>F60/F54</f>
        <v/>
      </c>
      <c r="G61" s="8">
        <f>G60/G54</f>
        <v/>
      </c>
      <c r="H61" s="8">
        <f>H60/H54</f>
        <v/>
      </c>
      <c r="I61" s="8">
        <f>I60/I54</f>
        <v/>
      </c>
      <c r="J61" s="8">
        <f>J60/J54</f>
        <v/>
      </c>
      <c r="K61" s="8">
        <f>K60/K54</f>
        <v/>
      </c>
    </row>
    <row r="62">
      <c r="A62" s="5" t="inlineStr">
        <is>
          <t>D&amp;A excl. acquired intangibles</t>
        </is>
      </c>
      <c r="C62" s="23">
        <f>C54*Scenarios!B68</f>
        <v/>
      </c>
      <c r="D62" s="23">
        <f>D54*Scenarios!C68</f>
        <v/>
      </c>
      <c r="E62" s="23">
        <f>E54*Scenarios!D68</f>
        <v/>
      </c>
      <c r="F62" s="23">
        <f>F54*Scenarios!E68</f>
        <v/>
      </c>
      <c r="G62" s="23">
        <f>G54*Scenarios!F68</f>
        <v/>
      </c>
      <c r="H62" s="23">
        <f>H54*Scenarios!G68</f>
        <v/>
      </c>
      <c r="I62" s="23">
        <f>I54*Scenarios!H68</f>
        <v/>
      </c>
      <c r="J62" s="23">
        <f>J54*Scenarios!I68</f>
        <v/>
      </c>
      <c r="K62" s="23">
        <f>K54*Scenarios!J68</f>
        <v/>
      </c>
    </row>
    <row r="63">
      <c r="A63" s="11" t="inlineStr">
        <is>
          <t>EBITDA</t>
        </is>
      </c>
      <c r="C63" s="23">
        <f>C60+C62</f>
        <v/>
      </c>
      <c r="D63" s="23">
        <f>D60+D62</f>
        <v/>
      </c>
      <c r="E63" s="23">
        <f>E60+E62</f>
        <v/>
      </c>
      <c r="F63" s="23">
        <f>F60+F62</f>
        <v/>
      </c>
      <c r="G63" s="23">
        <f>G60+G62</f>
        <v/>
      </c>
      <c r="H63" s="23">
        <f>H60+H62</f>
        <v/>
      </c>
      <c r="I63" s="23">
        <f>I60+I62</f>
        <v/>
      </c>
      <c r="J63" s="23">
        <f>J60+J62</f>
        <v/>
      </c>
      <c r="K63" s="23">
        <f>K60+K62</f>
        <v/>
      </c>
    </row>
    <row r="64">
      <c r="A64" s="5" t="inlineStr">
        <is>
          <t>Cash taxes</t>
        </is>
      </c>
      <c r="C64" s="23">
        <f>MAX(0,C60)*Scenarios!B66</f>
        <v/>
      </c>
      <c r="D64" s="23">
        <f>MAX(0,D60)*Scenarios!C66</f>
        <v/>
      </c>
      <c r="E64" s="23">
        <f>MAX(0,E60)*Scenarios!D66</f>
        <v/>
      </c>
      <c r="F64" s="23">
        <f>MAX(0,F60)*Scenarios!E66</f>
        <v/>
      </c>
      <c r="G64" s="23">
        <f>MAX(0,G60)*Scenarios!F66</f>
        <v/>
      </c>
      <c r="H64" s="23">
        <f>MAX(0,H60)*Scenarios!G66</f>
        <v/>
      </c>
      <c r="I64" s="23">
        <f>MAX(0,I60)*Scenarios!H66</f>
        <v/>
      </c>
      <c r="J64" s="23">
        <f>MAX(0,J60)*Scenarios!I66</f>
        <v/>
      </c>
      <c r="K64" s="23">
        <f>MAX(0,K60)*Scenarios!J66</f>
        <v/>
      </c>
    </row>
    <row r="65">
      <c r="A65" s="5" t="inlineStr">
        <is>
          <t>Capital expenditures</t>
        </is>
      </c>
      <c r="C65" s="23">
        <f>C54*Scenarios!B67</f>
        <v/>
      </c>
      <c r="D65" s="23">
        <f>D54*Scenarios!C67</f>
        <v/>
      </c>
      <c r="E65" s="23">
        <f>E54*Scenarios!D67</f>
        <v/>
      </c>
      <c r="F65" s="23">
        <f>F54*Scenarios!E67</f>
        <v/>
      </c>
      <c r="G65" s="23">
        <f>G54*Scenarios!F67</f>
        <v/>
      </c>
      <c r="H65" s="23">
        <f>H54*Scenarios!G67</f>
        <v/>
      </c>
      <c r="I65" s="23">
        <f>I54*Scenarios!H67</f>
        <v/>
      </c>
      <c r="J65" s="23">
        <f>J54*Scenarios!I67</f>
        <v/>
      </c>
      <c r="K65" s="23">
        <f>K54*Scenarios!J67</f>
        <v/>
      </c>
    </row>
    <row r="66">
      <c r="A66" s="5" t="inlineStr">
        <is>
          <t>Change in net working capital</t>
        </is>
      </c>
      <c r="C66" s="23">
        <f>Inputs!$C$31*(C54-Inputs!$C$13)</f>
        <v/>
      </c>
      <c r="D66" s="23">
        <f>Inputs!$C$31*(D54-C54)</f>
        <v/>
      </c>
      <c r="E66" s="23">
        <f>Inputs!$C$31*(E54-D54)</f>
        <v/>
      </c>
      <c r="F66" s="23">
        <f>Inputs!$C$31*(F54-E54)</f>
        <v/>
      </c>
      <c r="G66" s="23">
        <f>Inputs!$C$31*(G54-F54)</f>
        <v/>
      </c>
      <c r="H66" s="23">
        <f>Inputs!$C$31*(H54-G54)</f>
        <v/>
      </c>
      <c r="I66" s="23">
        <f>Inputs!$C$31*(I54-H54)</f>
        <v/>
      </c>
      <c r="J66" s="23">
        <f>Inputs!$C$31*(J54-I54)</f>
        <v/>
      </c>
      <c r="K66" s="23">
        <f>Inputs!$C$31*(K54-J54)</f>
        <v/>
      </c>
    </row>
    <row r="67">
      <c r="A67" s="11" t="inlineStr">
        <is>
          <t>Unlevered free cash flow</t>
        </is>
      </c>
      <c r="C67" s="23">
        <f>C60-C64+C62-C65-C66</f>
        <v/>
      </c>
      <c r="D67" s="23">
        <f>D60-D64+D62-D65-D66</f>
        <v/>
      </c>
      <c r="E67" s="23">
        <f>E60-E64+E62-E65-E66</f>
        <v/>
      </c>
      <c r="F67" s="23">
        <f>F60-F64+F62-F65-F66</f>
        <v/>
      </c>
      <c r="G67" s="23">
        <f>G60-G64+G62-G65-G66</f>
        <v/>
      </c>
      <c r="H67" s="23">
        <f>H60-H64+H62-H65-H66</f>
        <v/>
      </c>
      <c r="I67" s="23">
        <f>I60-I64+I62-I65-I66</f>
        <v/>
      </c>
      <c r="J67" s="23">
        <f>J60-J64+J62-J65-J66</f>
        <v/>
      </c>
      <c r="K67" s="23">
        <f>K60-K64+K62-K65-K66</f>
        <v/>
      </c>
    </row>
    <row r="68">
      <c r="A68" s="5" t="inlineStr">
        <is>
          <t>Discount period (years)</t>
        </is>
      </c>
      <c r="C68" s="26">
        <f>2027+0.5-Inputs!$C$12</f>
        <v/>
      </c>
      <c r="D68" s="26">
        <f>2028+0.5-Inputs!$C$12</f>
        <v/>
      </c>
      <c r="E68" s="26">
        <f>2029+0.5-Inputs!$C$12</f>
        <v/>
      </c>
      <c r="F68" s="26">
        <f>2030+0.5-Inputs!$C$12</f>
        <v/>
      </c>
      <c r="G68" s="26">
        <f>2031+0.5-Inputs!$C$12</f>
        <v/>
      </c>
      <c r="H68" s="26">
        <f>2032+0.5-Inputs!$C$12</f>
        <v/>
      </c>
      <c r="I68" s="26">
        <f>2033+0.5-Inputs!$C$12</f>
        <v/>
      </c>
      <c r="J68" s="26">
        <f>2034+0.5-Inputs!$C$12</f>
        <v/>
      </c>
      <c r="K68" s="26">
        <f>2035+0.5-Inputs!$C$12</f>
        <v/>
      </c>
    </row>
    <row r="69">
      <c r="A69" s="5" t="inlineStr">
        <is>
          <t>Discount factor</t>
        </is>
      </c>
      <c r="C69" s="35">
        <f>1/(1+Inputs!$C$25)^C68</f>
        <v/>
      </c>
      <c r="D69" s="35">
        <f>1/(1+Inputs!$C$25)^D68</f>
        <v/>
      </c>
      <c r="E69" s="35">
        <f>1/(1+Inputs!$C$25)^E68</f>
        <v/>
      </c>
      <c r="F69" s="35">
        <f>1/(1+Inputs!$C$25)^F68</f>
        <v/>
      </c>
      <c r="G69" s="35">
        <f>1/(1+Inputs!$C$25)^G68</f>
        <v/>
      </c>
      <c r="H69" s="35">
        <f>1/(1+Inputs!$C$25)^H68</f>
        <v/>
      </c>
      <c r="I69" s="35">
        <f>1/(1+Inputs!$C$25)^I68</f>
        <v/>
      </c>
      <c r="J69" s="35">
        <f>1/(1+Inputs!$C$25)^J68</f>
        <v/>
      </c>
      <c r="K69" s="35">
        <f>1/(1+Inputs!$C$25)^K68</f>
        <v/>
      </c>
    </row>
    <row r="70">
      <c r="A70" s="11" t="inlineStr">
        <is>
          <t>PV of unlevered FCF</t>
        </is>
      </c>
      <c r="C70" s="23">
        <f>C67*C69</f>
        <v/>
      </c>
      <c r="D70" s="23">
        <f>D67*D69</f>
        <v/>
      </c>
      <c r="E70" s="23">
        <f>E67*E69</f>
        <v/>
      </c>
      <c r="F70" s="23">
        <f>F67*F69</f>
        <v/>
      </c>
      <c r="G70" s="23">
        <f>G67*G69</f>
        <v/>
      </c>
      <c r="H70" s="23">
        <f>H67*H69</f>
        <v/>
      </c>
      <c r="I70" s="23">
        <f>I67*I69</f>
        <v/>
      </c>
      <c r="J70" s="23">
        <f>J67*J69</f>
        <v/>
      </c>
      <c r="K70" s="23">
        <f>K67*K69</f>
        <v/>
      </c>
    </row>
    <row r="72">
      <c r="A72" s="5" t="inlineStr">
        <is>
          <t>Normalized terminal FCF (2035)</t>
        </is>
      </c>
      <c r="C72" s="23">
        <f>K60*(1-Inputs!$C$29)+K62*(1-Inputs!$C$30)-Inputs!$C$31*K54*Inputs!$C$28</f>
        <v/>
      </c>
    </row>
    <row r="73">
      <c r="A73" s="5" t="inlineStr">
        <is>
          <t>Terminal value, exit multiple</t>
        </is>
      </c>
      <c r="C73" s="23">
        <f>K63*Inputs!$C$27</f>
        <v/>
      </c>
    </row>
    <row r="74">
      <c r="A74" s="5" t="inlineStr">
        <is>
          <t>Terminal value, perpetual growth (cross-check)</t>
        </is>
      </c>
      <c r="C74" s="23">
        <f>$C$72*(1+Inputs!$C$28)/(Inputs!$C$25-Inputs!$C$28)</f>
        <v/>
      </c>
    </row>
    <row r="75">
      <c r="A75" s="5" t="inlineStr">
        <is>
          <t>PV of 2027-2035 FCF + H2 2026 stub</t>
        </is>
      </c>
      <c r="C75" s="23">
        <f>SUM(C70:K70)+Inputs!$C$11</f>
        <v/>
      </c>
    </row>
    <row r="76">
      <c r="A76" s="5" t="inlineStr">
        <is>
          <t>PV of terminal value (exit multiple, end-2035 value)</t>
        </is>
      </c>
      <c r="C76" s="23">
        <f>$C$73/(1+Inputs!$C$25)^(K68+0.5)</f>
        <v/>
      </c>
    </row>
    <row r="77">
      <c r="A77" s="36" t="inlineStr">
        <is>
          <t>Enterprise value</t>
        </is>
      </c>
      <c r="C77" s="37">
        <f>$C$75+$C$76</f>
        <v/>
      </c>
    </row>
    <row r="78">
      <c r="A78" s="5" t="inlineStr">
        <is>
          <t>Equity value</t>
        </is>
      </c>
      <c r="C78" s="23">
        <f>$C$77+Inputs!$C$9</f>
        <v/>
      </c>
    </row>
    <row r="79">
      <c r="A79" s="5" t="inlineStr">
        <is>
          <t>DCF value per share ($)</t>
        </is>
      </c>
      <c r="C79" s="10">
        <f>MAX(0,$C$78*1000/Scenarios!$B$41)</f>
        <v/>
      </c>
    </row>
    <row r="80">
      <c r="A80" s="5" t="inlineStr">
        <is>
          <t>Strategic floor per share ($)</t>
        </is>
      </c>
      <c r="C80" s="19" t="n">
        <v>0</v>
      </c>
    </row>
    <row r="81">
      <c r="A81" s="36" t="inlineStr">
        <is>
          <t>Value per share ($)</t>
        </is>
      </c>
      <c r="C81" s="38">
        <f>MAX($C$79,$C$80)</f>
        <v/>
      </c>
    </row>
    <row r="82">
      <c r="A82" s="5" t="inlineStr">
        <is>
          <t>Cross-check: value per share at perpetual growth ($)</t>
        </is>
      </c>
      <c r="C82" s="10">
        <f>MAX(0,($C$75+$C$74*K69+Inputs!$C$9)*1000/Scenarios!$B$41)</f>
        <v/>
      </c>
    </row>
    <row r="83">
      <c r="A83" s="5" t="inlineStr">
        <is>
          <t>Perpetual growth implied by the exit multiple</t>
        </is>
      </c>
      <c r="C83" s="8">
        <f>($C$73*Inputs!$C$25-$C$72)/($C$73+$C$72)</f>
        <v/>
      </c>
    </row>
    <row r="86">
      <c r="A86" s="11" t="inlineStr">
        <is>
          <t>Bull case</t>
        </is>
      </c>
    </row>
    <row r="87">
      <c r="A87" s="3" t="inlineStr">
        <is>
          <t>Line item</t>
        </is>
      </c>
      <c r="B87" s="4" t="inlineStr"/>
      <c r="C87" s="4" t="inlineStr">
        <is>
          <t>2027</t>
        </is>
      </c>
      <c r="D87" s="4" t="inlineStr">
        <is>
          <t>2028</t>
        </is>
      </c>
      <c r="E87" s="4" t="inlineStr">
        <is>
          <t>2029</t>
        </is>
      </c>
      <c r="F87" s="4" t="inlineStr">
        <is>
          <t>2030</t>
        </is>
      </c>
      <c r="G87" s="4" t="inlineStr">
        <is>
          <t>2031</t>
        </is>
      </c>
      <c r="H87" s="4" t="inlineStr">
        <is>
          <t>2032</t>
        </is>
      </c>
      <c r="I87" s="4" t="inlineStr">
        <is>
          <t>2033</t>
        </is>
      </c>
      <c r="J87" s="4" t="inlineStr">
        <is>
          <t>2034</t>
        </is>
      </c>
      <c r="K87" s="4" t="inlineStr">
        <is>
          <t>2035</t>
        </is>
      </c>
    </row>
    <row r="88">
      <c r="A88" s="5" t="inlineStr">
        <is>
          <t>GW shipped (all customers)</t>
        </is>
      </c>
      <c r="C88" s="33">
        <f>Scenarios!B47+Scenarios!B48+Scenarios!B49</f>
        <v/>
      </c>
      <c r="D88" s="33">
        <f>Scenarios!C47+Scenarios!C48+Scenarios!C49</f>
        <v/>
      </c>
      <c r="E88" s="33">
        <f>Scenarios!D47+Scenarios!D48+Scenarios!D49</f>
        <v/>
      </c>
      <c r="F88" s="33">
        <f>Scenarios!E47+Scenarios!E48+Scenarios!E49</f>
        <v/>
      </c>
      <c r="G88" s="33">
        <f>Scenarios!F47+Scenarios!F48+Scenarios!F49</f>
        <v/>
      </c>
      <c r="H88" s="33">
        <f>Scenarios!G47+Scenarios!G48+Scenarios!G49</f>
        <v/>
      </c>
      <c r="I88" s="33">
        <f>Scenarios!H47+Scenarios!H48+Scenarios!H49</f>
        <v/>
      </c>
      <c r="J88" s="33">
        <f>Scenarios!I47+Scenarios!I48+Scenarios!I49</f>
        <v/>
      </c>
      <c r="K88" s="33">
        <f>Scenarios!J47+Scenarios!J48+Scenarios!J49</f>
        <v/>
      </c>
    </row>
    <row r="89">
      <c r="A89" s="5" t="inlineStr">
        <is>
          <t>Revenue per GW ($bn)</t>
        </is>
      </c>
      <c r="C89" s="33">
        <f>Scenarios!B50</f>
        <v/>
      </c>
      <c r="D89" s="33">
        <f>Scenarios!C50</f>
        <v/>
      </c>
      <c r="E89" s="33">
        <f>Scenarios!D50</f>
        <v/>
      </c>
      <c r="F89" s="33">
        <f>Scenarios!E50</f>
        <v/>
      </c>
      <c r="G89" s="33">
        <f>Scenarios!F50</f>
        <v/>
      </c>
      <c r="H89" s="33">
        <f>Scenarios!G50</f>
        <v/>
      </c>
      <c r="I89" s="33">
        <f>Scenarios!H50</f>
        <v/>
      </c>
      <c r="J89" s="33">
        <f>Scenarios!I50</f>
        <v/>
      </c>
      <c r="K89" s="33">
        <f>Scenarios!J50</f>
        <v/>
      </c>
    </row>
    <row r="90">
      <c r="A90" s="5" t="inlineStr">
        <is>
          <t>Data Center AI (Instinct) revenue</t>
        </is>
      </c>
      <c r="C90" s="23">
        <f>C88*C89</f>
        <v/>
      </c>
      <c r="D90" s="23">
        <f>D88*D89</f>
        <v/>
      </c>
      <c r="E90" s="23">
        <f>E88*E89</f>
        <v/>
      </c>
      <c r="F90" s="23">
        <f>F88*F89</f>
        <v/>
      </c>
      <c r="G90" s="23">
        <f>G88*G89</f>
        <v/>
      </c>
      <c r="H90" s="23">
        <f>H88*H89</f>
        <v/>
      </c>
      <c r="I90" s="23">
        <f>I88*I89</f>
        <v/>
      </c>
      <c r="J90" s="23">
        <f>J88*J89</f>
        <v/>
      </c>
      <c r="K90" s="23">
        <f>K88*K89</f>
        <v/>
      </c>
    </row>
    <row r="91">
      <c r="A91" s="5" t="inlineStr">
        <is>
          <t>EPYC server CPU revenue</t>
        </is>
      </c>
      <c r="C91" s="34">
        <f>Scenarios!B52</f>
        <v/>
      </c>
      <c r="D91" s="34">
        <f>Scenarios!C52</f>
        <v/>
      </c>
      <c r="E91" s="34">
        <f>Scenarios!D52</f>
        <v/>
      </c>
      <c r="F91" s="34">
        <f>Scenarios!E52</f>
        <v/>
      </c>
      <c r="G91" s="34">
        <f>Scenarios!F52</f>
        <v/>
      </c>
      <c r="H91" s="34">
        <f>Scenarios!G52</f>
        <v/>
      </c>
      <c r="I91" s="34">
        <f>Scenarios!H52</f>
        <v/>
      </c>
      <c r="J91" s="34">
        <f>Scenarios!I52</f>
        <v/>
      </c>
      <c r="K91" s="34">
        <f>Scenarios!J52</f>
        <v/>
      </c>
    </row>
    <row r="92">
      <c r="A92" s="5" t="inlineStr">
        <is>
          <t>Client revenue</t>
        </is>
      </c>
      <c r="C92" s="34">
        <f>Scenarios!B53</f>
        <v/>
      </c>
      <c r="D92" s="34">
        <f>Scenarios!C53</f>
        <v/>
      </c>
      <c r="E92" s="34">
        <f>Scenarios!D53</f>
        <v/>
      </c>
      <c r="F92" s="34">
        <f>Scenarios!E53</f>
        <v/>
      </c>
      <c r="G92" s="34">
        <f>Scenarios!F53</f>
        <v/>
      </c>
      <c r="H92" s="34">
        <f>Scenarios!G53</f>
        <v/>
      </c>
      <c r="I92" s="34">
        <f>Scenarios!H53</f>
        <v/>
      </c>
      <c r="J92" s="34">
        <f>Scenarios!I53</f>
        <v/>
      </c>
      <c r="K92" s="34">
        <f>Scenarios!J53</f>
        <v/>
      </c>
    </row>
    <row r="93">
      <c r="A93" s="5" t="inlineStr">
        <is>
          <t>Gaming revenue</t>
        </is>
      </c>
      <c r="C93" s="34">
        <f>Scenarios!B54</f>
        <v/>
      </c>
      <c r="D93" s="34">
        <f>Scenarios!C54</f>
        <v/>
      </c>
      <c r="E93" s="34">
        <f>Scenarios!D54</f>
        <v/>
      </c>
      <c r="F93" s="34">
        <f>Scenarios!E54</f>
        <v/>
      </c>
      <c r="G93" s="34">
        <f>Scenarios!F54</f>
        <v/>
      </c>
      <c r="H93" s="34">
        <f>Scenarios!G54</f>
        <v/>
      </c>
      <c r="I93" s="34">
        <f>Scenarios!H54</f>
        <v/>
      </c>
      <c r="J93" s="34">
        <f>Scenarios!I54</f>
        <v/>
      </c>
      <c r="K93" s="34">
        <f>Scenarios!J54</f>
        <v/>
      </c>
    </row>
    <row r="94">
      <c r="A94" s="5" t="inlineStr">
        <is>
          <t>Embedded revenue</t>
        </is>
      </c>
      <c r="C94" s="34">
        <f>Scenarios!B55</f>
        <v/>
      </c>
      <c r="D94" s="34">
        <f>Scenarios!C55</f>
        <v/>
      </c>
      <c r="E94" s="34">
        <f>Scenarios!D55</f>
        <v/>
      </c>
      <c r="F94" s="34">
        <f>Scenarios!E55</f>
        <v/>
      </c>
      <c r="G94" s="34">
        <f>Scenarios!F55</f>
        <v/>
      </c>
      <c r="H94" s="34">
        <f>Scenarios!G55</f>
        <v/>
      </c>
      <c r="I94" s="34">
        <f>Scenarios!H55</f>
        <v/>
      </c>
      <c r="J94" s="34">
        <f>Scenarios!I55</f>
        <v/>
      </c>
      <c r="K94" s="34">
        <f>Scenarios!J55</f>
        <v/>
      </c>
    </row>
    <row r="95">
      <c r="A95" s="11" t="inlineStr">
        <is>
          <t>Total revenue</t>
        </is>
      </c>
      <c r="C95" s="23">
        <f>C90+C91+C92+C93+C94</f>
        <v/>
      </c>
      <c r="D95" s="23">
        <f>D90+D91+D92+D93+D94</f>
        <v/>
      </c>
      <c r="E95" s="23">
        <f>E90+E91+E92+E93+E94</f>
        <v/>
      </c>
      <c r="F95" s="23">
        <f>F90+F91+F92+F93+F94</f>
        <v/>
      </c>
      <c r="G95" s="23">
        <f>G90+G91+G92+G93+G94</f>
        <v/>
      </c>
      <c r="H95" s="23">
        <f>H90+H91+H92+H93+H94</f>
        <v/>
      </c>
      <c r="I95" s="23">
        <f>I90+I91+I92+I93+I94</f>
        <v/>
      </c>
      <c r="J95" s="23">
        <f>J90+J91+J92+J93+J94</f>
        <v/>
      </c>
      <c r="K95" s="23">
        <f>K90+K91+K92+K93+K94</f>
        <v/>
      </c>
    </row>
    <row r="96">
      <c r="A96" s="5" t="inlineStr">
        <is>
          <t>Data Center AI gross margin</t>
        </is>
      </c>
      <c r="C96" s="6">
        <f>Scenarios!B51</f>
        <v/>
      </c>
      <c r="D96" s="6">
        <f>Scenarios!C51</f>
        <v/>
      </c>
      <c r="E96" s="6">
        <f>Scenarios!D51</f>
        <v/>
      </c>
      <c r="F96" s="6">
        <f>Scenarios!E51</f>
        <v/>
      </c>
      <c r="G96" s="6">
        <f>Scenarios!F51</f>
        <v/>
      </c>
      <c r="H96" s="6">
        <f>Scenarios!G51</f>
        <v/>
      </c>
      <c r="I96" s="6">
        <f>Scenarios!H51</f>
        <v/>
      </c>
      <c r="J96" s="6">
        <f>Scenarios!I51</f>
        <v/>
      </c>
      <c r="K96" s="6">
        <f>Scenarios!J51</f>
        <v/>
      </c>
    </row>
    <row r="97">
      <c r="A97" s="11" t="inlineStr">
        <is>
          <t>Gross profit</t>
        </is>
      </c>
      <c r="C97" s="23">
        <f>C90*C96+C91*Scenarios!$B$58+C92*Scenarios!$B$69+C93*Scenarios!$B$70+C94*Scenarios!$B$71</f>
        <v/>
      </c>
      <c r="D97" s="23">
        <f>D90*D96+D91*Scenarios!$B$58+D92*Scenarios!$B$69+D93*Scenarios!$B$70+D94*Scenarios!$B$71</f>
        <v/>
      </c>
      <c r="E97" s="23">
        <f>E90*E96+E91*Scenarios!$B$58+E92*Scenarios!$B$69+E93*Scenarios!$B$70+E94*Scenarios!$B$71</f>
        <v/>
      </c>
      <c r="F97" s="23">
        <f>F90*F96+F91*Scenarios!$B$58+F92*Scenarios!$B$69+F93*Scenarios!$B$70+F94*Scenarios!$B$71</f>
        <v/>
      </c>
      <c r="G97" s="23">
        <f>G90*G96+G91*Scenarios!$B$58+G92*Scenarios!$B$69+G93*Scenarios!$B$70+G94*Scenarios!$B$71</f>
        <v/>
      </c>
      <c r="H97" s="23">
        <f>H90*H96+H91*Scenarios!$B$58+H92*Scenarios!$B$69+H93*Scenarios!$B$70+H94*Scenarios!$B$71</f>
        <v/>
      </c>
      <c r="I97" s="23">
        <f>I90*I96+I91*Scenarios!$B$58+I92*Scenarios!$B$69+I93*Scenarios!$B$70+I94*Scenarios!$B$71</f>
        <v/>
      </c>
      <c r="J97" s="23">
        <f>J90*J96+J91*Scenarios!$B$58+J92*Scenarios!$B$69+J93*Scenarios!$B$70+J94*Scenarios!$B$71</f>
        <v/>
      </c>
      <c r="K97" s="23">
        <f>K90*K96+K91*Scenarios!$B$58+K92*Scenarios!$B$69+K93*Scenarios!$B$70+K94*Scenarios!$B$71</f>
        <v/>
      </c>
    </row>
    <row r="98">
      <c r="A98" s="5" t="inlineStr">
        <is>
          <t>Gross margin</t>
        </is>
      </c>
      <c r="C98" s="8">
        <f>C97/C95</f>
        <v/>
      </c>
      <c r="D98" s="8">
        <f>D97/D95</f>
        <v/>
      </c>
      <c r="E98" s="8">
        <f>E97/E95</f>
        <v/>
      </c>
      <c r="F98" s="8">
        <f>F97/F95</f>
        <v/>
      </c>
      <c r="G98" s="8">
        <f>G97/G95</f>
        <v/>
      </c>
      <c r="H98" s="8">
        <f>H97/H95</f>
        <v/>
      </c>
      <c r="I98" s="8">
        <f>I97/I95</f>
        <v/>
      </c>
      <c r="J98" s="8">
        <f>J97/J95</f>
        <v/>
      </c>
      <c r="K98" s="8">
        <f>K97/K95</f>
        <v/>
      </c>
    </row>
    <row r="99">
      <c r="A99" s="5" t="inlineStr">
        <is>
          <t>Operating expenses excl. SBC</t>
        </is>
      </c>
      <c r="C99" s="34">
        <f>Scenarios!B56</f>
        <v/>
      </c>
      <c r="D99" s="34">
        <f>Scenarios!C56</f>
        <v/>
      </c>
      <c r="E99" s="34">
        <f>Scenarios!D56</f>
        <v/>
      </c>
      <c r="F99" s="34">
        <f>Scenarios!E56</f>
        <v/>
      </c>
      <c r="G99" s="34">
        <f>Scenarios!F56</f>
        <v/>
      </c>
      <c r="H99" s="34">
        <f>Scenarios!G56</f>
        <v/>
      </c>
      <c r="I99" s="34">
        <f>Scenarios!H56</f>
        <v/>
      </c>
      <c r="J99" s="34">
        <f>Scenarios!I56</f>
        <v/>
      </c>
      <c r="K99" s="34">
        <f>Scenarios!J56</f>
        <v/>
      </c>
    </row>
    <row r="100">
      <c r="A100" s="5" t="inlineStr">
        <is>
          <t>Stock-based compensation</t>
        </is>
      </c>
      <c r="C100" s="34">
        <f>Scenarios!B57</f>
        <v/>
      </c>
      <c r="D100" s="34">
        <f>Scenarios!C57</f>
        <v/>
      </c>
      <c r="E100" s="34">
        <f>Scenarios!D57</f>
        <v/>
      </c>
      <c r="F100" s="34">
        <f>Scenarios!E57</f>
        <v/>
      </c>
      <c r="G100" s="34">
        <f>Scenarios!F57</f>
        <v/>
      </c>
      <c r="H100" s="34">
        <f>Scenarios!G57</f>
        <v/>
      </c>
      <c r="I100" s="34">
        <f>Scenarios!H57</f>
        <v/>
      </c>
      <c r="J100" s="34">
        <f>Scenarios!I57</f>
        <v/>
      </c>
      <c r="K100" s="34">
        <f>Scenarios!J57</f>
        <v/>
      </c>
    </row>
    <row r="101">
      <c r="A101" s="11" t="inlineStr">
        <is>
          <t>EBIT (SBC expensed)</t>
        </is>
      </c>
      <c r="C101" s="23">
        <f>C97-C99-C100</f>
        <v/>
      </c>
      <c r="D101" s="23">
        <f>D97-D99-D100</f>
        <v/>
      </c>
      <c r="E101" s="23">
        <f>E97-E99-E100</f>
        <v/>
      </c>
      <c r="F101" s="23">
        <f>F97-F99-F100</f>
        <v/>
      </c>
      <c r="G101" s="23">
        <f>G97-G99-G100</f>
        <v/>
      </c>
      <c r="H101" s="23">
        <f>H97-H99-H100</f>
        <v/>
      </c>
      <c r="I101" s="23">
        <f>I97-I99-I100</f>
        <v/>
      </c>
      <c r="J101" s="23">
        <f>J97-J99-J100</f>
        <v/>
      </c>
      <c r="K101" s="23">
        <f>K97-K99-K100</f>
        <v/>
      </c>
    </row>
    <row r="102">
      <c r="A102" s="5" t="inlineStr">
        <is>
          <t>EBIT margin</t>
        </is>
      </c>
      <c r="C102" s="8">
        <f>C101/C95</f>
        <v/>
      </c>
      <c r="D102" s="8">
        <f>D101/D95</f>
        <v/>
      </c>
      <c r="E102" s="8">
        <f>E101/E95</f>
        <v/>
      </c>
      <c r="F102" s="8">
        <f>F101/F95</f>
        <v/>
      </c>
      <c r="G102" s="8">
        <f>G101/G95</f>
        <v/>
      </c>
      <c r="H102" s="8">
        <f>H101/H95</f>
        <v/>
      </c>
      <c r="I102" s="8">
        <f>I101/I95</f>
        <v/>
      </c>
      <c r="J102" s="8">
        <f>J101/J95</f>
        <v/>
      </c>
      <c r="K102" s="8">
        <f>K101/K95</f>
        <v/>
      </c>
    </row>
    <row r="103">
      <c r="A103" s="5" t="inlineStr">
        <is>
          <t>D&amp;A excl. acquired intangibles</t>
        </is>
      </c>
      <c r="C103" s="23">
        <f>C95*Scenarios!B68</f>
        <v/>
      </c>
      <c r="D103" s="23">
        <f>D95*Scenarios!C68</f>
        <v/>
      </c>
      <c r="E103" s="23">
        <f>E95*Scenarios!D68</f>
        <v/>
      </c>
      <c r="F103" s="23">
        <f>F95*Scenarios!E68</f>
        <v/>
      </c>
      <c r="G103" s="23">
        <f>G95*Scenarios!F68</f>
        <v/>
      </c>
      <c r="H103" s="23">
        <f>H95*Scenarios!G68</f>
        <v/>
      </c>
      <c r="I103" s="23">
        <f>I95*Scenarios!H68</f>
        <v/>
      </c>
      <c r="J103" s="23">
        <f>J95*Scenarios!I68</f>
        <v/>
      </c>
      <c r="K103" s="23">
        <f>K95*Scenarios!J68</f>
        <v/>
      </c>
    </row>
    <row r="104">
      <c r="A104" s="11" t="inlineStr">
        <is>
          <t>EBITDA</t>
        </is>
      </c>
      <c r="C104" s="23">
        <f>C101+C103</f>
        <v/>
      </c>
      <c r="D104" s="23">
        <f>D101+D103</f>
        <v/>
      </c>
      <c r="E104" s="23">
        <f>E101+E103</f>
        <v/>
      </c>
      <c r="F104" s="23">
        <f>F101+F103</f>
        <v/>
      </c>
      <c r="G104" s="23">
        <f>G101+G103</f>
        <v/>
      </c>
      <c r="H104" s="23">
        <f>H101+H103</f>
        <v/>
      </c>
      <c r="I104" s="23">
        <f>I101+I103</f>
        <v/>
      </c>
      <c r="J104" s="23">
        <f>J101+J103</f>
        <v/>
      </c>
      <c r="K104" s="23">
        <f>K101+K103</f>
        <v/>
      </c>
    </row>
    <row r="105">
      <c r="A105" s="5" t="inlineStr">
        <is>
          <t>Cash taxes</t>
        </is>
      </c>
      <c r="C105" s="23">
        <f>MAX(0,C101)*Scenarios!B66</f>
        <v/>
      </c>
      <c r="D105" s="23">
        <f>MAX(0,D101)*Scenarios!C66</f>
        <v/>
      </c>
      <c r="E105" s="23">
        <f>MAX(0,E101)*Scenarios!D66</f>
        <v/>
      </c>
      <c r="F105" s="23">
        <f>MAX(0,F101)*Scenarios!E66</f>
        <v/>
      </c>
      <c r="G105" s="23">
        <f>MAX(0,G101)*Scenarios!F66</f>
        <v/>
      </c>
      <c r="H105" s="23">
        <f>MAX(0,H101)*Scenarios!G66</f>
        <v/>
      </c>
      <c r="I105" s="23">
        <f>MAX(0,I101)*Scenarios!H66</f>
        <v/>
      </c>
      <c r="J105" s="23">
        <f>MAX(0,J101)*Scenarios!I66</f>
        <v/>
      </c>
      <c r="K105" s="23">
        <f>MAX(0,K101)*Scenarios!J66</f>
        <v/>
      </c>
    </row>
    <row r="106">
      <c r="A106" s="5" t="inlineStr">
        <is>
          <t>Capital expenditures</t>
        </is>
      </c>
      <c r="C106" s="23">
        <f>C95*Scenarios!B67</f>
        <v/>
      </c>
      <c r="D106" s="23">
        <f>D95*Scenarios!C67</f>
        <v/>
      </c>
      <c r="E106" s="23">
        <f>E95*Scenarios!D67</f>
        <v/>
      </c>
      <c r="F106" s="23">
        <f>F95*Scenarios!E67</f>
        <v/>
      </c>
      <c r="G106" s="23">
        <f>G95*Scenarios!F67</f>
        <v/>
      </c>
      <c r="H106" s="23">
        <f>H95*Scenarios!G67</f>
        <v/>
      </c>
      <c r="I106" s="23">
        <f>I95*Scenarios!H67</f>
        <v/>
      </c>
      <c r="J106" s="23">
        <f>J95*Scenarios!I67</f>
        <v/>
      </c>
      <c r="K106" s="23">
        <f>K95*Scenarios!J67</f>
        <v/>
      </c>
    </row>
    <row r="107">
      <c r="A107" s="5" t="inlineStr">
        <is>
          <t>Change in net working capital</t>
        </is>
      </c>
      <c r="C107" s="23">
        <f>Inputs!$C$31*(C95-Inputs!$C$13)</f>
        <v/>
      </c>
      <c r="D107" s="23">
        <f>Inputs!$C$31*(D95-C95)</f>
        <v/>
      </c>
      <c r="E107" s="23">
        <f>Inputs!$C$31*(E95-D95)</f>
        <v/>
      </c>
      <c r="F107" s="23">
        <f>Inputs!$C$31*(F95-E95)</f>
        <v/>
      </c>
      <c r="G107" s="23">
        <f>Inputs!$C$31*(G95-F95)</f>
        <v/>
      </c>
      <c r="H107" s="23">
        <f>Inputs!$C$31*(H95-G95)</f>
        <v/>
      </c>
      <c r="I107" s="23">
        <f>Inputs!$C$31*(I95-H95)</f>
        <v/>
      </c>
      <c r="J107" s="23">
        <f>Inputs!$C$31*(J95-I95)</f>
        <v/>
      </c>
      <c r="K107" s="23">
        <f>Inputs!$C$31*(K95-J95)</f>
        <v/>
      </c>
    </row>
    <row r="108">
      <c r="A108" s="11" t="inlineStr">
        <is>
          <t>Unlevered free cash flow</t>
        </is>
      </c>
      <c r="C108" s="23">
        <f>C101-C105+C103-C106-C107</f>
        <v/>
      </c>
      <c r="D108" s="23">
        <f>D101-D105+D103-D106-D107</f>
        <v/>
      </c>
      <c r="E108" s="23">
        <f>E101-E105+E103-E106-E107</f>
        <v/>
      </c>
      <c r="F108" s="23">
        <f>F101-F105+F103-F106-F107</f>
        <v/>
      </c>
      <c r="G108" s="23">
        <f>G101-G105+G103-G106-G107</f>
        <v/>
      </c>
      <c r="H108" s="23">
        <f>H101-H105+H103-H106-H107</f>
        <v/>
      </c>
      <c r="I108" s="23">
        <f>I101-I105+I103-I106-I107</f>
        <v/>
      </c>
      <c r="J108" s="23">
        <f>J101-J105+J103-J106-J107</f>
        <v/>
      </c>
      <c r="K108" s="23">
        <f>K101-K105+K103-K106-K107</f>
        <v/>
      </c>
    </row>
    <row r="109">
      <c r="A109" s="5" t="inlineStr">
        <is>
          <t>Discount period (years)</t>
        </is>
      </c>
      <c r="C109" s="26">
        <f>2027+0.5-Inputs!$C$12</f>
        <v/>
      </c>
      <c r="D109" s="26">
        <f>2028+0.5-Inputs!$C$12</f>
        <v/>
      </c>
      <c r="E109" s="26">
        <f>2029+0.5-Inputs!$C$12</f>
        <v/>
      </c>
      <c r="F109" s="26">
        <f>2030+0.5-Inputs!$C$12</f>
        <v/>
      </c>
      <c r="G109" s="26">
        <f>2031+0.5-Inputs!$C$12</f>
        <v/>
      </c>
      <c r="H109" s="26">
        <f>2032+0.5-Inputs!$C$12</f>
        <v/>
      </c>
      <c r="I109" s="26">
        <f>2033+0.5-Inputs!$C$12</f>
        <v/>
      </c>
      <c r="J109" s="26">
        <f>2034+0.5-Inputs!$C$12</f>
        <v/>
      </c>
      <c r="K109" s="26">
        <f>2035+0.5-Inputs!$C$12</f>
        <v/>
      </c>
    </row>
    <row r="110">
      <c r="A110" s="5" t="inlineStr">
        <is>
          <t>Discount factor</t>
        </is>
      </c>
      <c r="C110" s="35">
        <f>1/(1+Inputs!$C$25)^C109</f>
        <v/>
      </c>
      <c r="D110" s="35">
        <f>1/(1+Inputs!$C$25)^D109</f>
        <v/>
      </c>
      <c r="E110" s="35">
        <f>1/(1+Inputs!$C$25)^E109</f>
        <v/>
      </c>
      <c r="F110" s="35">
        <f>1/(1+Inputs!$C$25)^F109</f>
        <v/>
      </c>
      <c r="G110" s="35">
        <f>1/(1+Inputs!$C$25)^G109</f>
        <v/>
      </c>
      <c r="H110" s="35">
        <f>1/(1+Inputs!$C$25)^H109</f>
        <v/>
      </c>
      <c r="I110" s="35">
        <f>1/(1+Inputs!$C$25)^I109</f>
        <v/>
      </c>
      <c r="J110" s="35">
        <f>1/(1+Inputs!$C$25)^J109</f>
        <v/>
      </c>
      <c r="K110" s="35">
        <f>1/(1+Inputs!$C$25)^K109</f>
        <v/>
      </c>
    </row>
    <row r="111">
      <c r="A111" s="11" t="inlineStr">
        <is>
          <t>PV of unlevered FCF</t>
        </is>
      </c>
      <c r="C111" s="23">
        <f>C108*C110</f>
        <v/>
      </c>
      <c r="D111" s="23">
        <f>D108*D110</f>
        <v/>
      </c>
      <c r="E111" s="23">
        <f>E108*E110</f>
        <v/>
      </c>
      <c r="F111" s="23">
        <f>F108*F110</f>
        <v/>
      </c>
      <c r="G111" s="23">
        <f>G108*G110</f>
        <v/>
      </c>
      <c r="H111" s="23">
        <f>H108*H110</f>
        <v/>
      </c>
      <c r="I111" s="23">
        <f>I108*I110</f>
        <v/>
      </c>
      <c r="J111" s="23">
        <f>J108*J110</f>
        <v/>
      </c>
      <c r="K111" s="23">
        <f>K108*K110</f>
        <v/>
      </c>
    </row>
    <row r="113">
      <c r="A113" s="5" t="inlineStr">
        <is>
          <t>Normalized terminal FCF (2035)</t>
        </is>
      </c>
      <c r="C113" s="23">
        <f>K101*(1-Inputs!$C$29)+K103*(1-Inputs!$C$30)-Inputs!$C$31*K95*Inputs!$C$28</f>
        <v/>
      </c>
    </row>
    <row r="114">
      <c r="A114" s="5" t="inlineStr">
        <is>
          <t>Terminal value, exit multiple</t>
        </is>
      </c>
      <c r="C114" s="23">
        <f>K104*Inputs!$C$27</f>
        <v/>
      </c>
    </row>
    <row r="115">
      <c r="A115" s="5" t="inlineStr">
        <is>
          <t>Terminal value, perpetual growth (cross-check)</t>
        </is>
      </c>
      <c r="C115" s="23">
        <f>$C$113*(1+Inputs!$C$28)/(Inputs!$C$25-Inputs!$C$28)</f>
        <v/>
      </c>
    </row>
    <row r="116">
      <c r="A116" s="5" t="inlineStr">
        <is>
          <t>PV of 2027-2035 FCF + H2 2026 stub</t>
        </is>
      </c>
      <c r="C116" s="23">
        <f>SUM(C111:K111)+Inputs!$C$11</f>
        <v/>
      </c>
    </row>
    <row r="117">
      <c r="A117" s="5" t="inlineStr">
        <is>
          <t>PV of terminal value (exit multiple, end-2035 value)</t>
        </is>
      </c>
      <c r="C117" s="23">
        <f>$C$114/(1+Inputs!$C$25)^(K109+0.5)</f>
        <v/>
      </c>
    </row>
    <row r="118">
      <c r="A118" s="36" t="inlineStr">
        <is>
          <t>Enterprise value</t>
        </is>
      </c>
      <c r="C118" s="37">
        <f>$C$116+$C$117</f>
        <v/>
      </c>
    </row>
    <row r="119">
      <c r="A119" s="5" t="inlineStr">
        <is>
          <t>Equity value</t>
        </is>
      </c>
      <c r="C119" s="23">
        <f>$C$118+Inputs!$C$9</f>
        <v/>
      </c>
    </row>
    <row r="120">
      <c r="A120" s="5" t="inlineStr">
        <is>
          <t>DCF value per share ($)</t>
        </is>
      </c>
      <c r="C120" s="10">
        <f>MAX(0,$C$119*1000/Scenarios!$B$61)</f>
        <v/>
      </c>
    </row>
    <row r="121">
      <c r="A121" s="5" t="inlineStr">
        <is>
          <t>Strategic floor per share ($)</t>
        </is>
      </c>
      <c r="C121" s="19" t="n">
        <v>0</v>
      </c>
    </row>
    <row r="122">
      <c r="A122" s="36" t="inlineStr">
        <is>
          <t>Value per share ($)</t>
        </is>
      </c>
      <c r="C122" s="38">
        <f>MAX($C$120,$C$121)</f>
        <v/>
      </c>
    </row>
    <row r="123">
      <c r="A123" s="5" t="inlineStr">
        <is>
          <t>Cross-check: value per share at perpetual growth ($)</t>
        </is>
      </c>
      <c r="C123" s="10">
        <f>MAX(0,($C$116+$C$115*K110+Inputs!$C$9)*1000/Scenarios!$B$61)</f>
        <v/>
      </c>
    </row>
    <row r="124">
      <c r="A124" s="5" t="inlineStr">
        <is>
          <t>Perpetual growth implied by the exit multiple</t>
        </is>
      </c>
      <c r="C124" s="8">
        <f>($C$114*Inputs!$C$25-$C$113)/($C$114+$C$113)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6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</cols>
  <sheetData>
    <row r="1">
      <c r="A1" s="1" t="inlineStr">
        <is>
          <t>Conviction case: the author's Bullish headline, recomputed with live formulas</t>
        </is>
      </c>
    </row>
    <row r="2">
      <c r="A2" s="2" t="inlineStr">
        <is>
          <t>Same engine and inputs as the Model sheet. Operating path = the Bull scenario block on Scenarios. Only the two yellow overrides differ.</t>
        </is>
      </c>
    </row>
    <row r="3">
      <c r="A3" s="17" t="inlineStr">
        <is>
          <t>Overrides</t>
        </is>
      </c>
      <c r="C3" s="18" t="n"/>
    </row>
    <row r="4">
      <c r="A4" s="5" t="inlineStr">
        <is>
          <t>Discount rate (conviction)</t>
        </is>
      </c>
      <c r="C4" s="30" t="n">
        <v>0.12</v>
      </c>
    </row>
    <row r="5">
      <c r="A5" s="5" t="inlineStr">
        <is>
          <t>Exit multiple, EV/EBITDA 2035 (conviction)</t>
        </is>
      </c>
      <c r="C5" s="28" t="n">
        <v>18</v>
      </c>
    </row>
    <row r="7">
      <c r="A7" s="2" t="inlineStr">
        <is>
          <t>Belief 1: OpenAI and Meta each take their full 6 GW by 2030, so all 320 million warrant shares vest</t>
        </is>
      </c>
    </row>
    <row r="8">
      <c r="A8" s="2" t="inlineStr">
        <is>
          <t>Belief 2: AMD ships 7.6 GW of AI compute in 2030 at about $16.5 billion per GW: about $125 billion of Instinct revenue</t>
        </is>
      </c>
    </row>
    <row r="9">
      <c r="A9" s="2" t="inlineStr">
        <is>
          <t>Belief 3: EPYC server CPU revenue reaches $61 billion in 2030 as AI agents lift CPU demand</t>
        </is>
      </c>
    </row>
    <row r="10">
      <c r="A10" s="2" t="inlineStr">
        <is>
          <t>Belief 4: Gross margin reaches about 58%, the top of AMD's 55% to 58% target range</t>
        </is>
      </c>
    </row>
    <row r="11">
      <c r="A11" s="2" t="inlineStr">
        <is>
          <t>Belief 5: Investors price AMD's risk like a maturing megacap: a 12% discount rate and 18x 2035 EBITDA</t>
        </is>
      </c>
    </row>
    <row r="13">
      <c r="A13" s="11" t="inlineStr">
        <is>
          <t>Conviction case (Bull operating path, conviction discount rate and exit multiple)</t>
        </is>
      </c>
    </row>
    <row r="14">
      <c r="A14" s="3" t="inlineStr">
        <is>
          <t>Line item</t>
        </is>
      </c>
      <c r="B14" s="4" t="inlineStr"/>
      <c r="C14" s="4" t="inlineStr">
        <is>
          <t>2027</t>
        </is>
      </c>
      <c r="D14" s="4" t="inlineStr">
        <is>
          <t>2028</t>
        </is>
      </c>
      <c r="E14" s="4" t="inlineStr">
        <is>
          <t>2029</t>
        </is>
      </c>
      <c r="F14" s="4" t="inlineStr">
        <is>
          <t>2030</t>
        </is>
      </c>
      <c r="G14" s="4" t="inlineStr">
        <is>
          <t>2031</t>
        </is>
      </c>
      <c r="H14" s="4" t="inlineStr">
        <is>
          <t>2032</t>
        </is>
      </c>
      <c r="I14" s="4" t="inlineStr">
        <is>
          <t>2033</t>
        </is>
      </c>
      <c r="J14" s="4" t="inlineStr">
        <is>
          <t>2034</t>
        </is>
      </c>
      <c r="K14" s="4" t="inlineStr">
        <is>
          <t>2035</t>
        </is>
      </c>
    </row>
    <row r="15">
      <c r="A15" s="5" t="inlineStr">
        <is>
          <t>GW shipped (all customers)</t>
        </is>
      </c>
      <c r="C15" s="33">
        <f>Scenarios!B47+Scenarios!B48+Scenarios!B49</f>
        <v/>
      </c>
      <c r="D15" s="33">
        <f>Scenarios!C47+Scenarios!C48+Scenarios!C49</f>
        <v/>
      </c>
      <c r="E15" s="33">
        <f>Scenarios!D47+Scenarios!D48+Scenarios!D49</f>
        <v/>
      </c>
      <c r="F15" s="33">
        <f>Scenarios!E47+Scenarios!E48+Scenarios!E49</f>
        <v/>
      </c>
      <c r="G15" s="33">
        <f>Scenarios!F47+Scenarios!F48+Scenarios!F49</f>
        <v/>
      </c>
      <c r="H15" s="33">
        <f>Scenarios!G47+Scenarios!G48+Scenarios!G49</f>
        <v/>
      </c>
      <c r="I15" s="33">
        <f>Scenarios!H47+Scenarios!H48+Scenarios!H49</f>
        <v/>
      </c>
      <c r="J15" s="33">
        <f>Scenarios!I47+Scenarios!I48+Scenarios!I49</f>
        <v/>
      </c>
      <c r="K15" s="33">
        <f>Scenarios!J47+Scenarios!J48+Scenarios!J49</f>
        <v/>
      </c>
    </row>
    <row r="16">
      <c r="A16" s="5" t="inlineStr">
        <is>
          <t>Revenue per GW ($bn)</t>
        </is>
      </c>
      <c r="C16" s="33">
        <f>Scenarios!B50</f>
        <v/>
      </c>
      <c r="D16" s="33">
        <f>Scenarios!C50</f>
        <v/>
      </c>
      <c r="E16" s="33">
        <f>Scenarios!D50</f>
        <v/>
      </c>
      <c r="F16" s="33">
        <f>Scenarios!E50</f>
        <v/>
      </c>
      <c r="G16" s="33">
        <f>Scenarios!F50</f>
        <v/>
      </c>
      <c r="H16" s="33">
        <f>Scenarios!G50</f>
        <v/>
      </c>
      <c r="I16" s="33">
        <f>Scenarios!H50</f>
        <v/>
      </c>
      <c r="J16" s="33">
        <f>Scenarios!I50</f>
        <v/>
      </c>
      <c r="K16" s="33">
        <f>Scenarios!J50</f>
        <v/>
      </c>
    </row>
    <row r="17">
      <c r="A17" s="5" t="inlineStr">
        <is>
          <t>Data Center AI (Instinct) revenue</t>
        </is>
      </c>
      <c r="C17" s="23">
        <f>C15*C16</f>
        <v/>
      </c>
      <c r="D17" s="23">
        <f>D15*D16</f>
        <v/>
      </c>
      <c r="E17" s="23">
        <f>E15*E16</f>
        <v/>
      </c>
      <c r="F17" s="23">
        <f>F15*F16</f>
        <v/>
      </c>
      <c r="G17" s="23">
        <f>G15*G16</f>
        <v/>
      </c>
      <c r="H17" s="23">
        <f>H15*H16</f>
        <v/>
      </c>
      <c r="I17" s="23">
        <f>I15*I16</f>
        <v/>
      </c>
      <c r="J17" s="23">
        <f>J15*J16</f>
        <v/>
      </c>
      <c r="K17" s="23">
        <f>K15*K16</f>
        <v/>
      </c>
    </row>
    <row r="18">
      <c r="A18" s="5" t="inlineStr">
        <is>
          <t>EPYC server CPU revenue</t>
        </is>
      </c>
      <c r="C18" s="34">
        <f>Scenarios!B52</f>
        <v/>
      </c>
      <c r="D18" s="34">
        <f>Scenarios!C52</f>
        <v/>
      </c>
      <c r="E18" s="34">
        <f>Scenarios!D52</f>
        <v/>
      </c>
      <c r="F18" s="34">
        <f>Scenarios!E52</f>
        <v/>
      </c>
      <c r="G18" s="34">
        <f>Scenarios!F52</f>
        <v/>
      </c>
      <c r="H18" s="34">
        <f>Scenarios!G52</f>
        <v/>
      </c>
      <c r="I18" s="34">
        <f>Scenarios!H52</f>
        <v/>
      </c>
      <c r="J18" s="34">
        <f>Scenarios!I52</f>
        <v/>
      </c>
      <c r="K18" s="34">
        <f>Scenarios!J52</f>
        <v/>
      </c>
    </row>
    <row r="19">
      <c r="A19" s="5" t="inlineStr">
        <is>
          <t>Client revenue</t>
        </is>
      </c>
      <c r="C19" s="34">
        <f>Scenarios!B53</f>
        <v/>
      </c>
      <c r="D19" s="34">
        <f>Scenarios!C53</f>
        <v/>
      </c>
      <c r="E19" s="34">
        <f>Scenarios!D53</f>
        <v/>
      </c>
      <c r="F19" s="34">
        <f>Scenarios!E53</f>
        <v/>
      </c>
      <c r="G19" s="34">
        <f>Scenarios!F53</f>
        <v/>
      </c>
      <c r="H19" s="34">
        <f>Scenarios!G53</f>
        <v/>
      </c>
      <c r="I19" s="34">
        <f>Scenarios!H53</f>
        <v/>
      </c>
      <c r="J19" s="34">
        <f>Scenarios!I53</f>
        <v/>
      </c>
      <c r="K19" s="34">
        <f>Scenarios!J53</f>
        <v/>
      </c>
    </row>
    <row r="20">
      <c r="A20" s="5" t="inlineStr">
        <is>
          <t>Gaming revenue</t>
        </is>
      </c>
      <c r="C20" s="34">
        <f>Scenarios!B54</f>
        <v/>
      </c>
      <c r="D20" s="34">
        <f>Scenarios!C54</f>
        <v/>
      </c>
      <c r="E20" s="34">
        <f>Scenarios!D54</f>
        <v/>
      </c>
      <c r="F20" s="34">
        <f>Scenarios!E54</f>
        <v/>
      </c>
      <c r="G20" s="34">
        <f>Scenarios!F54</f>
        <v/>
      </c>
      <c r="H20" s="34">
        <f>Scenarios!G54</f>
        <v/>
      </c>
      <c r="I20" s="34">
        <f>Scenarios!H54</f>
        <v/>
      </c>
      <c r="J20" s="34">
        <f>Scenarios!I54</f>
        <v/>
      </c>
      <c r="K20" s="34">
        <f>Scenarios!J54</f>
        <v/>
      </c>
    </row>
    <row r="21">
      <c r="A21" s="5" t="inlineStr">
        <is>
          <t>Embedded revenue</t>
        </is>
      </c>
      <c r="C21" s="34">
        <f>Scenarios!B55</f>
        <v/>
      </c>
      <c r="D21" s="34">
        <f>Scenarios!C55</f>
        <v/>
      </c>
      <c r="E21" s="34">
        <f>Scenarios!D55</f>
        <v/>
      </c>
      <c r="F21" s="34">
        <f>Scenarios!E55</f>
        <v/>
      </c>
      <c r="G21" s="34">
        <f>Scenarios!F55</f>
        <v/>
      </c>
      <c r="H21" s="34">
        <f>Scenarios!G55</f>
        <v/>
      </c>
      <c r="I21" s="34">
        <f>Scenarios!H55</f>
        <v/>
      </c>
      <c r="J21" s="34">
        <f>Scenarios!I55</f>
        <v/>
      </c>
      <c r="K21" s="34">
        <f>Scenarios!J55</f>
        <v/>
      </c>
    </row>
    <row r="22">
      <c r="A22" s="11" t="inlineStr">
        <is>
          <t>Total revenue</t>
        </is>
      </c>
      <c r="C22" s="23">
        <f>C17+C18+C19+C20+C21</f>
        <v/>
      </c>
      <c r="D22" s="23">
        <f>D17+D18+D19+D20+D21</f>
        <v/>
      </c>
      <c r="E22" s="23">
        <f>E17+E18+E19+E20+E21</f>
        <v/>
      </c>
      <c r="F22" s="23">
        <f>F17+F18+F19+F20+F21</f>
        <v/>
      </c>
      <c r="G22" s="23">
        <f>G17+G18+G19+G20+G21</f>
        <v/>
      </c>
      <c r="H22" s="23">
        <f>H17+H18+H19+H20+H21</f>
        <v/>
      </c>
      <c r="I22" s="23">
        <f>I17+I18+I19+I20+I21</f>
        <v/>
      </c>
      <c r="J22" s="23">
        <f>J17+J18+J19+J20+J21</f>
        <v/>
      </c>
      <c r="K22" s="23">
        <f>K17+K18+K19+K20+K21</f>
        <v/>
      </c>
    </row>
    <row r="23">
      <c r="A23" s="5" t="inlineStr">
        <is>
          <t>Data Center AI gross margin</t>
        </is>
      </c>
      <c r="C23" s="6">
        <f>Scenarios!B51</f>
        <v/>
      </c>
      <c r="D23" s="6">
        <f>Scenarios!C51</f>
        <v/>
      </c>
      <c r="E23" s="6">
        <f>Scenarios!D51</f>
        <v/>
      </c>
      <c r="F23" s="6">
        <f>Scenarios!E51</f>
        <v/>
      </c>
      <c r="G23" s="6">
        <f>Scenarios!F51</f>
        <v/>
      </c>
      <c r="H23" s="6">
        <f>Scenarios!G51</f>
        <v/>
      </c>
      <c r="I23" s="6">
        <f>Scenarios!H51</f>
        <v/>
      </c>
      <c r="J23" s="6">
        <f>Scenarios!I51</f>
        <v/>
      </c>
      <c r="K23" s="6">
        <f>Scenarios!J51</f>
        <v/>
      </c>
    </row>
    <row r="24">
      <c r="A24" s="11" t="inlineStr">
        <is>
          <t>Gross profit</t>
        </is>
      </c>
      <c r="C24" s="23">
        <f>C17*C23+C18*Scenarios!$B$58+C19*Scenarios!$B$69+C20*Scenarios!$B$70+C21*Scenarios!$B$71</f>
        <v/>
      </c>
      <c r="D24" s="23">
        <f>D17*D23+D18*Scenarios!$B$58+D19*Scenarios!$B$69+D20*Scenarios!$B$70+D21*Scenarios!$B$71</f>
        <v/>
      </c>
      <c r="E24" s="23">
        <f>E17*E23+E18*Scenarios!$B$58+E19*Scenarios!$B$69+E20*Scenarios!$B$70+E21*Scenarios!$B$71</f>
        <v/>
      </c>
      <c r="F24" s="23">
        <f>F17*F23+F18*Scenarios!$B$58+F19*Scenarios!$B$69+F20*Scenarios!$B$70+F21*Scenarios!$B$71</f>
        <v/>
      </c>
      <c r="G24" s="23">
        <f>G17*G23+G18*Scenarios!$B$58+G19*Scenarios!$B$69+G20*Scenarios!$B$70+G21*Scenarios!$B$71</f>
        <v/>
      </c>
      <c r="H24" s="23">
        <f>H17*H23+H18*Scenarios!$B$58+H19*Scenarios!$B$69+H20*Scenarios!$B$70+H21*Scenarios!$B$71</f>
        <v/>
      </c>
      <c r="I24" s="23">
        <f>I17*I23+I18*Scenarios!$B$58+I19*Scenarios!$B$69+I20*Scenarios!$B$70+I21*Scenarios!$B$71</f>
        <v/>
      </c>
      <c r="J24" s="23">
        <f>J17*J23+J18*Scenarios!$B$58+J19*Scenarios!$B$69+J20*Scenarios!$B$70+J21*Scenarios!$B$71</f>
        <v/>
      </c>
      <c r="K24" s="23">
        <f>K17*K23+K18*Scenarios!$B$58+K19*Scenarios!$B$69+K20*Scenarios!$B$70+K21*Scenarios!$B$71</f>
        <v/>
      </c>
    </row>
    <row r="25">
      <c r="A25" s="5" t="inlineStr">
        <is>
          <t>Gross margin</t>
        </is>
      </c>
      <c r="C25" s="8">
        <f>C24/C22</f>
        <v/>
      </c>
      <c r="D25" s="8">
        <f>D24/D22</f>
        <v/>
      </c>
      <c r="E25" s="8">
        <f>E24/E22</f>
        <v/>
      </c>
      <c r="F25" s="8">
        <f>F24/F22</f>
        <v/>
      </c>
      <c r="G25" s="8">
        <f>G24/G22</f>
        <v/>
      </c>
      <c r="H25" s="8">
        <f>H24/H22</f>
        <v/>
      </c>
      <c r="I25" s="8">
        <f>I24/I22</f>
        <v/>
      </c>
      <c r="J25" s="8">
        <f>J24/J22</f>
        <v/>
      </c>
      <c r="K25" s="8">
        <f>K24/K22</f>
        <v/>
      </c>
    </row>
    <row r="26">
      <c r="A26" s="5" t="inlineStr">
        <is>
          <t>Operating expenses excl. SBC</t>
        </is>
      </c>
      <c r="C26" s="34">
        <f>Scenarios!B56</f>
        <v/>
      </c>
      <c r="D26" s="34">
        <f>Scenarios!C56</f>
        <v/>
      </c>
      <c r="E26" s="34">
        <f>Scenarios!D56</f>
        <v/>
      </c>
      <c r="F26" s="34">
        <f>Scenarios!E56</f>
        <v/>
      </c>
      <c r="G26" s="34">
        <f>Scenarios!F56</f>
        <v/>
      </c>
      <c r="H26" s="34">
        <f>Scenarios!G56</f>
        <v/>
      </c>
      <c r="I26" s="34">
        <f>Scenarios!H56</f>
        <v/>
      </c>
      <c r="J26" s="34">
        <f>Scenarios!I56</f>
        <v/>
      </c>
      <c r="K26" s="34">
        <f>Scenarios!J56</f>
        <v/>
      </c>
    </row>
    <row r="27">
      <c r="A27" s="5" t="inlineStr">
        <is>
          <t>Stock-based compensation</t>
        </is>
      </c>
      <c r="C27" s="34">
        <f>Scenarios!B57</f>
        <v/>
      </c>
      <c r="D27" s="34">
        <f>Scenarios!C57</f>
        <v/>
      </c>
      <c r="E27" s="34">
        <f>Scenarios!D57</f>
        <v/>
      </c>
      <c r="F27" s="34">
        <f>Scenarios!E57</f>
        <v/>
      </c>
      <c r="G27" s="34">
        <f>Scenarios!F57</f>
        <v/>
      </c>
      <c r="H27" s="34">
        <f>Scenarios!G57</f>
        <v/>
      </c>
      <c r="I27" s="34">
        <f>Scenarios!H57</f>
        <v/>
      </c>
      <c r="J27" s="34">
        <f>Scenarios!I57</f>
        <v/>
      </c>
      <c r="K27" s="34">
        <f>Scenarios!J57</f>
        <v/>
      </c>
    </row>
    <row r="28">
      <c r="A28" s="11" t="inlineStr">
        <is>
          <t>EBIT (SBC expensed)</t>
        </is>
      </c>
      <c r="C28" s="23">
        <f>C24-C26-C27</f>
        <v/>
      </c>
      <c r="D28" s="23">
        <f>D24-D26-D27</f>
        <v/>
      </c>
      <c r="E28" s="23">
        <f>E24-E26-E27</f>
        <v/>
      </c>
      <c r="F28" s="23">
        <f>F24-F26-F27</f>
        <v/>
      </c>
      <c r="G28" s="23">
        <f>G24-G26-G27</f>
        <v/>
      </c>
      <c r="H28" s="23">
        <f>H24-H26-H27</f>
        <v/>
      </c>
      <c r="I28" s="23">
        <f>I24-I26-I27</f>
        <v/>
      </c>
      <c r="J28" s="23">
        <f>J24-J26-J27</f>
        <v/>
      </c>
      <c r="K28" s="23">
        <f>K24-K26-K27</f>
        <v/>
      </c>
    </row>
    <row r="29">
      <c r="A29" s="5" t="inlineStr">
        <is>
          <t>EBIT margin</t>
        </is>
      </c>
      <c r="C29" s="8">
        <f>C28/C22</f>
        <v/>
      </c>
      <c r="D29" s="8">
        <f>D28/D22</f>
        <v/>
      </c>
      <c r="E29" s="8">
        <f>E28/E22</f>
        <v/>
      </c>
      <c r="F29" s="8">
        <f>F28/F22</f>
        <v/>
      </c>
      <c r="G29" s="8">
        <f>G28/G22</f>
        <v/>
      </c>
      <c r="H29" s="8">
        <f>H28/H22</f>
        <v/>
      </c>
      <c r="I29" s="8">
        <f>I28/I22</f>
        <v/>
      </c>
      <c r="J29" s="8">
        <f>J28/J22</f>
        <v/>
      </c>
      <c r="K29" s="8">
        <f>K28/K22</f>
        <v/>
      </c>
    </row>
    <row r="30">
      <c r="A30" s="5" t="inlineStr">
        <is>
          <t>D&amp;A excl. acquired intangibles</t>
        </is>
      </c>
      <c r="C30" s="23">
        <f>C22*Scenarios!B68</f>
        <v/>
      </c>
      <c r="D30" s="23">
        <f>D22*Scenarios!C68</f>
        <v/>
      </c>
      <c r="E30" s="23">
        <f>E22*Scenarios!D68</f>
        <v/>
      </c>
      <c r="F30" s="23">
        <f>F22*Scenarios!E68</f>
        <v/>
      </c>
      <c r="G30" s="23">
        <f>G22*Scenarios!F68</f>
        <v/>
      </c>
      <c r="H30" s="23">
        <f>H22*Scenarios!G68</f>
        <v/>
      </c>
      <c r="I30" s="23">
        <f>I22*Scenarios!H68</f>
        <v/>
      </c>
      <c r="J30" s="23">
        <f>J22*Scenarios!I68</f>
        <v/>
      </c>
      <c r="K30" s="23">
        <f>K22*Scenarios!J68</f>
        <v/>
      </c>
    </row>
    <row r="31">
      <c r="A31" s="11" t="inlineStr">
        <is>
          <t>EBITDA</t>
        </is>
      </c>
      <c r="C31" s="23">
        <f>C28+C30</f>
        <v/>
      </c>
      <c r="D31" s="23">
        <f>D28+D30</f>
        <v/>
      </c>
      <c r="E31" s="23">
        <f>E28+E30</f>
        <v/>
      </c>
      <c r="F31" s="23">
        <f>F28+F30</f>
        <v/>
      </c>
      <c r="G31" s="23">
        <f>G28+G30</f>
        <v/>
      </c>
      <c r="H31" s="23">
        <f>H28+H30</f>
        <v/>
      </c>
      <c r="I31" s="23">
        <f>I28+I30</f>
        <v/>
      </c>
      <c r="J31" s="23">
        <f>J28+J30</f>
        <v/>
      </c>
      <c r="K31" s="23">
        <f>K28+K30</f>
        <v/>
      </c>
    </row>
    <row r="32">
      <c r="A32" s="5" t="inlineStr">
        <is>
          <t>Cash taxes</t>
        </is>
      </c>
      <c r="C32" s="23">
        <f>MAX(0,C28)*Scenarios!B66</f>
        <v/>
      </c>
      <c r="D32" s="23">
        <f>MAX(0,D28)*Scenarios!C66</f>
        <v/>
      </c>
      <c r="E32" s="23">
        <f>MAX(0,E28)*Scenarios!D66</f>
        <v/>
      </c>
      <c r="F32" s="23">
        <f>MAX(0,F28)*Scenarios!E66</f>
        <v/>
      </c>
      <c r="G32" s="23">
        <f>MAX(0,G28)*Scenarios!F66</f>
        <v/>
      </c>
      <c r="H32" s="23">
        <f>MAX(0,H28)*Scenarios!G66</f>
        <v/>
      </c>
      <c r="I32" s="23">
        <f>MAX(0,I28)*Scenarios!H66</f>
        <v/>
      </c>
      <c r="J32" s="23">
        <f>MAX(0,J28)*Scenarios!I66</f>
        <v/>
      </c>
      <c r="K32" s="23">
        <f>MAX(0,K28)*Scenarios!J66</f>
        <v/>
      </c>
    </row>
    <row r="33">
      <c r="A33" s="5" t="inlineStr">
        <is>
          <t>Capital expenditures</t>
        </is>
      </c>
      <c r="C33" s="23">
        <f>C22*Scenarios!B67</f>
        <v/>
      </c>
      <c r="D33" s="23">
        <f>D22*Scenarios!C67</f>
        <v/>
      </c>
      <c r="E33" s="23">
        <f>E22*Scenarios!D67</f>
        <v/>
      </c>
      <c r="F33" s="23">
        <f>F22*Scenarios!E67</f>
        <v/>
      </c>
      <c r="G33" s="23">
        <f>G22*Scenarios!F67</f>
        <v/>
      </c>
      <c r="H33" s="23">
        <f>H22*Scenarios!G67</f>
        <v/>
      </c>
      <c r="I33" s="23">
        <f>I22*Scenarios!H67</f>
        <v/>
      </c>
      <c r="J33" s="23">
        <f>J22*Scenarios!I67</f>
        <v/>
      </c>
      <c r="K33" s="23">
        <f>K22*Scenarios!J67</f>
        <v/>
      </c>
    </row>
    <row r="34">
      <c r="A34" s="5" t="inlineStr">
        <is>
          <t>Change in net working capital</t>
        </is>
      </c>
      <c r="C34" s="23">
        <f>Inputs!$C$31*(C22-Inputs!$C$13)</f>
        <v/>
      </c>
      <c r="D34" s="23">
        <f>Inputs!$C$31*(D22-C22)</f>
        <v/>
      </c>
      <c r="E34" s="23">
        <f>Inputs!$C$31*(E22-D22)</f>
        <v/>
      </c>
      <c r="F34" s="23">
        <f>Inputs!$C$31*(F22-E22)</f>
        <v/>
      </c>
      <c r="G34" s="23">
        <f>Inputs!$C$31*(G22-F22)</f>
        <v/>
      </c>
      <c r="H34" s="23">
        <f>Inputs!$C$31*(H22-G22)</f>
        <v/>
      </c>
      <c r="I34" s="23">
        <f>Inputs!$C$31*(I22-H22)</f>
        <v/>
      </c>
      <c r="J34" s="23">
        <f>Inputs!$C$31*(J22-I22)</f>
        <v/>
      </c>
      <c r="K34" s="23">
        <f>Inputs!$C$31*(K22-J22)</f>
        <v/>
      </c>
    </row>
    <row r="35">
      <c r="A35" s="11" t="inlineStr">
        <is>
          <t>Unlevered free cash flow</t>
        </is>
      </c>
      <c r="C35" s="23">
        <f>C28-C32+C30-C33-C34</f>
        <v/>
      </c>
      <c r="D35" s="23">
        <f>D28-D32+D30-D33-D34</f>
        <v/>
      </c>
      <c r="E35" s="23">
        <f>E28-E32+E30-E33-E34</f>
        <v/>
      </c>
      <c r="F35" s="23">
        <f>F28-F32+F30-F33-F34</f>
        <v/>
      </c>
      <c r="G35" s="23">
        <f>G28-G32+G30-G33-G34</f>
        <v/>
      </c>
      <c r="H35" s="23">
        <f>H28-H32+H30-H33-H34</f>
        <v/>
      </c>
      <c r="I35" s="23">
        <f>I28-I32+I30-I33-I34</f>
        <v/>
      </c>
      <c r="J35" s="23">
        <f>J28-J32+J30-J33-J34</f>
        <v/>
      </c>
      <c r="K35" s="23">
        <f>K28-K32+K30-K33-K34</f>
        <v/>
      </c>
    </row>
    <row r="36">
      <c r="A36" s="5" t="inlineStr">
        <is>
          <t>Discount period (years)</t>
        </is>
      </c>
      <c r="C36" s="26">
        <f>2027+0.5-Inputs!$C$12</f>
        <v/>
      </c>
      <c r="D36" s="26">
        <f>2028+0.5-Inputs!$C$12</f>
        <v/>
      </c>
      <c r="E36" s="26">
        <f>2029+0.5-Inputs!$C$12</f>
        <v/>
      </c>
      <c r="F36" s="26">
        <f>2030+0.5-Inputs!$C$12</f>
        <v/>
      </c>
      <c r="G36" s="26">
        <f>2031+0.5-Inputs!$C$12</f>
        <v/>
      </c>
      <c r="H36" s="26">
        <f>2032+0.5-Inputs!$C$12</f>
        <v/>
      </c>
      <c r="I36" s="26">
        <f>2033+0.5-Inputs!$C$12</f>
        <v/>
      </c>
      <c r="J36" s="26">
        <f>2034+0.5-Inputs!$C$12</f>
        <v/>
      </c>
      <c r="K36" s="26">
        <f>2035+0.5-Inputs!$C$12</f>
        <v/>
      </c>
    </row>
    <row r="37">
      <c r="A37" s="5" t="inlineStr">
        <is>
          <t>Discount factor</t>
        </is>
      </c>
      <c r="C37" s="35">
        <f>1/(1+Conviction!$C$4)^C36</f>
        <v/>
      </c>
      <c r="D37" s="35">
        <f>1/(1+Conviction!$C$4)^D36</f>
        <v/>
      </c>
      <c r="E37" s="35">
        <f>1/(1+Conviction!$C$4)^E36</f>
        <v/>
      </c>
      <c r="F37" s="35">
        <f>1/(1+Conviction!$C$4)^F36</f>
        <v/>
      </c>
      <c r="G37" s="35">
        <f>1/(1+Conviction!$C$4)^G36</f>
        <v/>
      </c>
      <c r="H37" s="35">
        <f>1/(1+Conviction!$C$4)^H36</f>
        <v/>
      </c>
      <c r="I37" s="35">
        <f>1/(1+Conviction!$C$4)^I36</f>
        <v/>
      </c>
      <c r="J37" s="35">
        <f>1/(1+Conviction!$C$4)^J36</f>
        <v/>
      </c>
      <c r="K37" s="35">
        <f>1/(1+Conviction!$C$4)^K36</f>
        <v/>
      </c>
    </row>
    <row r="38">
      <c r="A38" s="11" t="inlineStr">
        <is>
          <t>PV of unlevered FCF</t>
        </is>
      </c>
      <c r="C38" s="23">
        <f>C35*C37</f>
        <v/>
      </c>
      <c r="D38" s="23">
        <f>D35*D37</f>
        <v/>
      </c>
      <c r="E38" s="23">
        <f>E35*E37</f>
        <v/>
      </c>
      <c r="F38" s="23">
        <f>F35*F37</f>
        <v/>
      </c>
      <c r="G38" s="23">
        <f>G35*G37</f>
        <v/>
      </c>
      <c r="H38" s="23">
        <f>H35*H37</f>
        <v/>
      </c>
      <c r="I38" s="23">
        <f>I35*I37</f>
        <v/>
      </c>
      <c r="J38" s="23">
        <f>J35*J37</f>
        <v/>
      </c>
      <c r="K38" s="23">
        <f>K35*K37</f>
        <v/>
      </c>
    </row>
    <row r="40">
      <c r="A40" s="5" t="inlineStr">
        <is>
          <t>Normalized terminal FCF (2035)</t>
        </is>
      </c>
      <c r="C40" s="23">
        <f>K28*(1-Inputs!$C$29)+K30*(1-Inputs!$C$30)-Inputs!$C$31*K22*Inputs!$C$28</f>
        <v/>
      </c>
    </row>
    <row r="41">
      <c r="A41" s="5" t="inlineStr">
        <is>
          <t>Terminal value, exit multiple</t>
        </is>
      </c>
      <c r="C41" s="23">
        <f>K31*Conviction!$C$5</f>
        <v/>
      </c>
    </row>
    <row r="42">
      <c r="A42" s="5" t="inlineStr">
        <is>
          <t>Terminal value, perpetual growth (cross-check)</t>
        </is>
      </c>
      <c r="C42" s="23">
        <f>$C$40*(1+Inputs!$C$28)/(Conviction!$C$4-Inputs!$C$28)</f>
        <v/>
      </c>
    </row>
    <row r="43">
      <c r="A43" s="5" t="inlineStr">
        <is>
          <t>PV of 2027-2035 FCF + H2 2026 stub</t>
        </is>
      </c>
      <c r="C43" s="23">
        <f>SUM(C38:K38)+Inputs!$C$11</f>
        <v/>
      </c>
    </row>
    <row r="44">
      <c r="A44" s="5" t="inlineStr">
        <is>
          <t>PV of terminal value (exit multiple, end-2035 value)</t>
        </is>
      </c>
      <c r="C44" s="23">
        <f>$C$41/(1+Conviction!$C$4)^(K36+0.5)</f>
        <v/>
      </c>
    </row>
    <row r="45">
      <c r="A45" s="36" t="inlineStr">
        <is>
          <t>Enterprise value</t>
        </is>
      </c>
      <c r="C45" s="37">
        <f>$C$43+$C$44</f>
        <v/>
      </c>
    </row>
    <row r="46">
      <c r="A46" s="5" t="inlineStr">
        <is>
          <t>Equity value</t>
        </is>
      </c>
      <c r="C46" s="23">
        <f>$C$45+Inputs!$C$9</f>
        <v/>
      </c>
    </row>
    <row r="47">
      <c r="A47" s="5" t="inlineStr">
        <is>
          <t>DCF value per share ($)</t>
        </is>
      </c>
      <c r="C47" s="10">
        <f>MAX(0,$C$46*1000/Scenarios!$B$61)</f>
        <v/>
      </c>
    </row>
    <row r="48">
      <c r="A48" s="5" t="inlineStr">
        <is>
          <t>Strategic floor per share ($)</t>
        </is>
      </c>
      <c r="C48" s="19" t="n">
        <v>0</v>
      </c>
    </row>
    <row r="49">
      <c r="A49" s="36" t="inlineStr">
        <is>
          <t>Value per share ($)</t>
        </is>
      </c>
      <c r="C49" s="38">
        <f>MAX($C$47,$C$48)</f>
        <v/>
      </c>
    </row>
    <row r="50">
      <c r="A50" s="5" t="inlineStr">
        <is>
          <t>Cross-check: value per share at perpetual growth ($)</t>
        </is>
      </c>
      <c r="C50" s="10">
        <f>MAX(0,($C$43+$C$42*K37+Inputs!$C$9)*1000/Scenarios!$B$61)</f>
        <v/>
      </c>
    </row>
    <row r="51">
      <c r="A51" s="5" t="inlineStr">
        <is>
          <t>Perpetual growth implied by the exit multiple</t>
        </is>
      </c>
      <c r="C51" s="8">
        <f>($C$41*Conviction!$C$4-$C$40)/($C$41+$C$40)</f>
        <v/>
      </c>
    </row>
    <row r="54">
      <c r="A54" s="11" t="inlineStr">
        <is>
          <t>Both calls, side by side</t>
        </is>
      </c>
    </row>
    <row r="55">
      <c r="A55" s="11" t="inlineStr">
        <is>
          <t>Conviction case value per share ($)</t>
        </is>
      </c>
      <c r="C55" s="12">
        <f>$C$49</f>
        <v/>
      </c>
    </row>
    <row r="56">
      <c r="A56" s="5" t="inlineStr">
        <is>
          <t>Price ($)</t>
        </is>
      </c>
      <c r="C56" s="7">
        <f>Inputs!$C$4</f>
        <v/>
      </c>
    </row>
    <row r="57">
      <c r="A57" s="5" t="inlineStr">
        <is>
          <t>Conviction case vs price</t>
        </is>
      </c>
      <c r="C57" s="8">
        <f>C55/C56-1</f>
        <v/>
      </c>
    </row>
    <row r="58">
      <c r="A58" s="5" t="inlineStr">
        <is>
          <t>Published headline (author's conviction)</t>
        </is>
      </c>
      <c r="C58" s="39" t="inlineStr">
        <is>
          <t>Bullish · 3-5 year view</t>
        </is>
      </c>
    </row>
    <row r="59">
      <c r="A59" s="5" t="inlineStr">
        <is>
          <t>Model value, probability-weighted ($)</t>
        </is>
      </c>
      <c r="C59" s="7">
        <f>Valuation!$C$9</f>
        <v/>
      </c>
    </row>
    <row r="60">
      <c r="A60" s="11" t="inlineStr">
        <is>
          <t>Model rule at this price (report-kit longRating)</t>
        </is>
      </c>
      <c r="C60" s="13">
        <f>Valuation!$C$14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</cols>
  <sheetData>
    <row r="1">
      <c r="A1" s="1" t="inlineStr">
        <is>
          <t>Reported results ($bn) and the 2026 estimate</t>
        </is>
      </c>
    </row>
    <row r="3">
      <c r="A3" s="3" t="inlineStr">
        <is>
          <t>Line item</t>
        </is>
      </c>
      <c r="B3" s="4" t="inlineStr">
        <is>
          <t>2023A</t>
        </is>
      </c>
      <c r="C3" s="4" t="inlineStr">
        <is>
          <t>2024A</t>
        </is>
      </c>
      <c r="D3" s="4" t="inlineStr">
        <is>
          <t>2025A</t>
        </is>
      </c>
      <c r="E3" s="4" t="inlineStr">
        <is>
          <t>2026E</t>
        </is>
      </c>
    </row>
    <row r="4">
      <c r="A4" s="5" t="inlineStr">
        <is>
          <t>Data Center</t>
        </is>
      </c>
      <c r="B4" s="22" t="n">
        <v>6.496</v>
      </c>
      <c r="C4" s="22" t="n">
        <v>12.579</v>
      </c>
      <c r="D4" s="22" t="n">
        <v>16.635</v>
      </c>
      <c r="E4" s="22" t="n">
        <v>31</v>
      </c>
    </row>
    <row r="5">
      <c r="A5" s="5" t="inlineStr">
        <is>
          <t>Client</t>
        </is>
      </c>
      <c r="B5" s="22" t="n">
        <v>4.651</v>
      </c>
      <c r="C5" s="22" t="n">
        <v>7.054</v>
      </c>
      <c r="D5" s="22" t="n">
        <v>10.64</v>
      </c>
      <c r="E5" s="22" t="n">
        <v>12</v>
      </c>
    </row>
    <row r="6">
      <c r="A6" s="5" t="inlineStr">
        <is>
          <t>Gaming</t>
        </is>
      </c>
      <c r="B6" s="22" t="n">
        <v>6.212</v>
      </c>
      <c r="C6" s="22" t="n">
        <v>2.595</v>
      </c>
      <c r="D6" s="22" t="n">
        <v>3.91</v>
      </c>
      <c r="E6" s="22" t="n">
        <v>3.2</v>
      </c>
    </row>
    <row r="7">
      <c r="A7" s="5" t="inlineStr">
        <is>
          <t>Embedded</t>
        </is>
      </c>
      <c r="B7" s="22" t="n">
        <v>5.321</v>
      </c>
      <c r="C7" s="22" t="n">
        <v>3.557</v>
      </c>
      <c r="D7" s="22" t="n">
        <v>3.454</v>
      </c>
      <c r="E7" s="22" t="n">
        <v>4</v>
      </c>
    </row>
    <row r="8">
      <c r="A8" s="11" t="inlineStr">
        <is>
          <t>Total revenue</t>
        </is>
      </c>
      <c r="B8" s="22" t="n">
        <v>22.68</v>
      </c>
      <c r="C8" s="22" t="n">
        <v>25.785</v>
      </c>
      <c r="D8" s="22" t="n">
        <v>34.639</v>
      </c>
      <c r="E8" s="22" t="n">
        <v>50.2</v>
      </c>
    </row>
    <row r="9">
      <c r="A9" s="5" t="inlineStr">
        <is>
          <t>Non-GAAP gross margin</t>
        </is>
      </c>
      <c r="B9" s="15" t="n">
        <v>0.5</v>
      </c>
      <c r="C9" s="15" t="n">
        <v>0.53</v>
      </c>
      <c r="D9" s="15" t="n">
        <v>0.52</v>
      </c>
      <c r="E9" s="15" t="n">
        <v>0.556</v>
      </c>
    </row>
    <row r="10">
      <c r="A10" s="5" t="inlineStr">
        <is>
          <t>Non-GAAP operating expenses</t>
        </is>
      </c>
      <c r="B10" s="22" t="n">
        <v>6.616</v>
      </c>
      <c r="C10" s="22" t="n">
        <v>7.621</v>
      </c>
      <c r="D10" s="22" t="n">
        <v>10.397</v>
      </c>
      <c r="E10" s="22" t="n">
        <v>14.1</v>
      </c>
    </row>
    <row r="11">
      <c r="A11" s="5" t="inlineStr">
        <is>
          <t>Non-GAAP operating income</t>
        </is>
      </c>
      <c r="B11" s="22" t="n">
        <v>4.854</v>
      </c>
      <c r="C11" s="22" t="n">
        <v>6.138</v>
      </c>
      <c r="D11" s="22" t="n">
        <v>7.768</v>
      </c>
      <c r="E11" s="22" t="n">
        <v>13.8</v>
      </c>
    </row>
    <row r="12">
      <c r="A12" s="5" t="inlineStr">
        <is>
          <t>Free cash flow (AMD definition)</t>
        </is>
      </c>
      <c r="B12" s="22" t="n">
        <v>1.121</v>
      </c>
      <c r="C12" s="22" t="n">
        <v>2.405</v>
      </c>
      <c r="D12" s="22" t="n">
        <v>5.519</v>
      </c>
      <c r="E12" s="22" t="n">
        <v>7.1</v>
      </c>
    </row>
    <row r="13">
      <c r="A13" s="5" t="inlineStr">
        <is>
          <t>Non-GAAP diluted EPS ($)</t>
        </is>
      </c>
      <c r="B13" s="19" t="n">
        <v>2.65</v>
      </c>
      <c r="C13" s="19" t="n">
        <v>3.31</v>
      </c>
      <c r="D13" s="19" t="n">
        <v>4.17</v>
      </c>
      <c r="E13" s="19" t="n">
        <v>7.5</v>
      </c>
    </row>
    <row r="16">
      <c r="A16" s="11" t="inlineStr">
        <is>
          <t>Sources</t>
        </is>
      </c>
    </row>
    <row r="17">
      <c r="A17" s="2" t="inlineStr">
        <is>
          <t>FY2023: Q4 2023 release (8-K Ex. 99.1, 2024-01-30). FY2024-FY2025: Q4 2025 release (2026-02-03) and FY2025 10-K. ir.amd.com</t>
        </is>
      </c>
    </row>
    <row r="18">
      <c r="A18" s="2" t="inlineStr">
        <is>
          <t>H1 2026: Q1 2026 release (2026-05-05) and Q2 2026 release and 10-Q (2026-08-04). 2026E is the author's estimate (consensus revenue $50.95bn, EPS $7.59).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2026-10-16T20:39:30Z</dcterms:created>
  <dcterms:modified xmlns:dcterms="http://purl.org/dc/terms/" xmlns:xsi="http://www.w3.org/2001/XMLSchema-instance" xsi:type="dcterms:W3CDTF">2026-10-16T20:39:30Z</dcterms:modified>
</cp:coreProperties>
</file>