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uation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Scenarios" sheetId="3" state="visible" r:id="rId3"/>
    <sheet xmlns:r="http://schemas.openxmlformats.org/officeDocument/2006/relationships" name="Model" sheetId="4" state="visible" r:id="rId4"/>
    <sheet xmlns:r="http://schemas.openxmlformats.org/officeDocument/2006/relationships" name="Conviction" sheetId="5" state="visible" r:id="rId5"/>
    <sheet xmlns:r="http://schemas.openxmlformats.org/officeDocument/2006/relationships" name="Histo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9">
    <numFmt numFmtId="164" formatCode="$#,##0.00;($#,##0.00);&quot;-&quot;"/>
    <numFmt numFmtId="165" formatCode="$#,##0.000;($#,##0.000);&quot;-&quot;"/>
    <numFmt numFmtId="166" formatCode="0.0%;(0.0%);&quot;-&quot;"/>
    <numFmt numFmtId="167" formatCode="0.0&quot;x&quot;"/>
    <numFmt numFmtId="168" formatCode="0.00&quot;x&quot;"/>
    <numFmt numFmtId="169" formatCode="0.0"/>
    <numFmt numFmtId="170" formatCode="#,##0.0;(#,##0.0);&quot;-&quot;"/>
    <numFmt numFmtId="171" formatCode="0.000"/>
    <numFmt numFmtId="172" formatCode="$#,##0.00"/>
  </numFmts>
  <fonts count="8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i val="1"/>
      <color rgb="00555555"/>
      <sz val="10"/>
    </font>
    <font>
      <name val="Arial"/>
      <b val="1"/>
      <sz val="10"/>
    </font>
    <font>
      <name val="Arial"/>
      <color rgb="00000000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008000"/>
      <sz val="10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FFFF00"/>
      </patternFill>
    </fill>
    <fill>
      <patternFill patternType="solid">
        <fgColor rgb="000A0A0A"/>
      </patternFill>
    </fill>
  </fills>
  <borders count="2">
    <border>
      <left/>
      <right/>
      <top/>
      <bottom/>
      <diagonal/>
    </border>
    <border>
      <top style="thin">
        <color rgb="00BFBFBF"/>
      </top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6" fillId="4" borderId="0" applyAlignment="1" pivotButton="0" quotePrefix="0" xfId="0">
      <alignment horizontal="left"/>
    </xf>
    <xf numFmtId="0" fontId="6" fillId="4" borderId="0" applyAlignment="1" pivotButton="0" quotePrefix="0" xfId="0">
      <alignment horizontal="center"/>
    </xf>
    <xf numFmtId="0" fontId="4" fillId="0" borderId="0" pivotButton="0" quotePrefix="0" xfId="0"/>
    <xf numFmtId="166" fontId="7" fillId="0" borderId="0" pivotButton="0" quotePrefix="0" xfId="0"/>
    <xf numFmtId="165" fontId="7" fillId="0" borderId="0" pivotButton="0" quotePrefix="0" xfId="0"/>
    <xf numFmtId="166" fontId="4" fillId="0" borderId="0" pivotButton="0" quotePrefix="0" xfId="0"/>
    <xf numFmtId="0" fontId="3" fillId="0" borderId="0" pivotButton="0" quotePrefix="0" xfId="0"/>
    <xf numFmtId="165" fontId="4" fillId="3" borderId="0" pivotButton="0" quotePrefix="0" xfId="0"/>
    <xf numFmtId="0" fontId="4" fillId="3" borderId="0" pivotButton="0" quotePrefix="0" xfId="0"/>
    <xf numFmtId="165" fontId="4" fillId="0" borderId="0" pivotButton="0" quotePrefix="0" xfId="0"/>
    <xf numFmtId="165" fontId="7" fillId="3" borderId="0" pivotButton="0" quotePrefix="0" xfId="0"/>
    <xf numFmtId="167" fontId="6" fillId="4" borderId="0" applyAlignment="1" pivotButton="0" quotePrefix="0" xfId="0">
      <alignment horizontal="center"/>
    </xf>
    <xf numFmtId="166" fontId="5" fillId="0" borderId="0" pivotButton="0" quotePrefix="0" xfId="0"/>
    <xf numFmtId="165" fontId="5" fillId="0" borderId="0" pivotButton="0" quotePrefix="0" xfId="0"/>
    <xf numFmtId="167" fontId="4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164" fontId="5" fillId="0" borderId="0" pivotButton="0" quotePrefix="0" xfId="0"/>
    <xf numFmtId="3" fontId="5" fillId="0" borderId="0" pivotButton="0" quotePrefix="0" xfId="0"/>
    <xf numFmtId="2" fontId="5" fillId="0" borderId="0" pivotButton="0" quotePrefix="0" xfId="0"/>
    <xf numFmtId="166" fontId="5" fillId="3" borderId="0" pivotButton="0" quotePrefix="0" xfId="0"/>
    <xf numFmtId="166" fontId="4" fillId="3" borderId="0" pivotButton="0" quotePrefix="0" xfId="0"/>
    <xf numFmtId="167" fontId="5" fillId="3" borderId="0" pivotButton="0" quotePrefix="0" xfId="0"/>
    <xf numFmtId="168" fontId="5" fillId="0" borderId="0" pivotButton="0" quotePrefix="0" xfId="0"/>
    <xf numFmtId="167" fontId="5" fillId="0" borderId="0" pivotButton="0" quotePrefix="0" xfId="0"/>
    <xf numFmtId="168" fontId="5" fillId="3" borderId="0" pivotButton="0" quotePrefix="0" xfId="0"/>
    <xf numFmtId="169" fontId="5" fillId="0" borderId="0" pivotButton="0" quotePrefix="0" xfId="0"/>
    <xf numFmtId="170" fontId="5" fillId="0" borderId="0" pivotButton="0" quotePrefix="0" xfId="0"/>
    <xf numFmtId="170" fontId="7" fillId="0" borderId="0" pivotButton="0" quotePrefix="0" xfId="0"/>
    <xf numFmtId="3" fontId="7" fillId="0" borderId="0" pivotButton="0" quotePrefix="0" xfId="0"/>
    <xf numFmtId="2" fontId="4" fillId="0" borderId="0" pivotButton="0" quotePrefix="0" xfId="0"/>
    <xf numFmtId="171" fontId="4" fillId="0" borderId="0" pivotButton="0" quotePrefix="0" xfId="0"/>
    <xf numFmtId="164" fontId="4" fillId="0" borderId="0" pivotButton="0" quotePrefix="0" xfId="0"/>
    <xf numFmtId="0" fontId="3" fillId="0" borderId="1" pivotButton="0" quotePrefix="0" xfId="0"/>
    <xf numFmtId="164" fontId="4" fillId="0" borderId="1" pivotButton="0" quotePrefix="0" xfId="0"/>
    <xf numFmtId="165" fontId="4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Phat Ngo</author>
  </authors>
  <commentList>
    <comment ref="C4" authorId="0" shapeId="0">
      <text>
        <t>(A) $150M pre-Series B at about $1B post-money, announced Jul 6 2026 (TechCrunch; China Fund News). Illiquid private round, not a market price.</t>
      </text>
    </comment>
    <comment ref="C5" authorId="0" shapeId="0">
      <text>
        <t>Modelling convention so the shared DCF bridge outputs equity value in USD billions.</t>
      </text>
    </comment>
    <comment ref="C6" authorId="0" shapeId="0">
      <text>
        <t>(D) $150M from the July 2026 round plus about $20M assumed prior cash. No debt disclosed.</t>
      </text>
    </comment>
    <comment ref="C7" authorId="0" shapeId="0">
      <text>
        <t>(D) Hiring and launch spending against the CEO claim that the company is profitable (C, TechCrunch Jul 2026).</t>
      </text>
    </comment>
    <comment ref="C8" authorId="0" shapeId="0">
      <text>
        <t>2026-10-16</t>
      </text>
    </comment>
    <comment ref="C9" authorId="0" shapeId="0">
      <text>
        <t>(D) About 65,000 pairs at about $780 net. Anchors: ~3,000 G2 and RMB 16M order revenue by end-Jan 2026 (A/C, Jiemian Apr 17 2026); 11% of display AI-glasses shipments in H1 2026 (E, Counterpoint Sep 21 2026).</t>
      </text>
    </comment>
    <comment ref="C11" authorId="0" shapeId="0">
      <text>
        <t>US 10-year Treasury, about 5.2% in mid-October 2026 (same input as the Rivian report).</t>
      </text>
    </comment>
    <comment ref="C12" authorId="0" shapeId="0">
      <text>
        <t>(D) Small-cap consumer hardware and XR peers trade at betas near 2. Private company: no measured beta.</t>
      </text>
    </comment>
    <comment ref="C13" authorId="0" shapeId="0">
      <text>
        <t>Author assumption, in line with commonly used implied ERP estimates of 4.5-5.5%.</t>
      </text>
    </comment>
    <comment ref="C15" authorId="0" shapeId="0">
      <text>
        <t>(D) Illiquidity, key-person and single-product risk of a three-year-old private company. Scenario weights carry failure risk, so this is kept at the low end of venture hurdle rates (20-30%).</t>
      </text>
    </comment>
    <comment ref="C18" authorId="0" shapeId="0">
      <text>
        <t>(D) A mature consumer-hardware brand: between Sonos-type and Garmin-type valuations. Tested 8-20x on the Valuation sheet.</t>
      </text>
    </comment>
    <comment ref="C20" authorId="0" shapeId="0">
      <text>
        <t>(D) Blend of China 15% high-tech rate and higher foreign rates.</t>
      </text>
    </comment>
    <comment ref="C22" authorId="0" shapeId="0">
      <text>
        <t>(D) Hardware inventory and receivables from optical retailers.</t>
      </text>
    </comment>
    <comment ref="C23" authorId="0" shapeId="0">
      <text>
        <t>(D) China High and New Technology Enterprise rate; loss carry-forwards ignored (conservative).</t>
      </text>
    </comment>
    <comment ref="C24" authorId="0" shapeId="0">
      <text>
        <t>(D) Light asset base: one Guangzhou assembly plant.</t>
      </text>
    </comment>
    <comment ref="C26" authorId="0" shapeId="0">
      <text>
        <t>Author judgment.</t>
      </text>
    </comment>
    <comment ref="C27" authorId="0" shapeId="0">
      <text>
        <t>Author judgment.</t>
      </text>
    </comment>
    <comment ref="C28" authorId="0" shapeId="0">
      <text>
        <t>Author judgment; kept at or below 35%.</t>
      </text>
    </comment>
    <comment ref="C29" authorId="0" shapeId="0">
      <text>
        <t>(D) Acquirer or partner floor, between GoPro (0.35x) and Sonos (1.4x) price-to-sales.</t>
      </text>
    </comment>
    <comment ref="C31" authorId="0" shapeId="0">
      <text>
        <t>(D) Option pool plus a down round to fund the cost cuts.</t>
      </text>
    </comment>
    <comment ref="C32" authorId="0" shapeId="0">
      <text>
        <t>(D) About 8% option pool refresh plus one round at a modest discount.</t>
      </text>
    </comment>
    <comment ref="C33" authorId="0" shapeId="0">
      <text>
        <t>(D) Option pool; growth funded largely from cash flow and an IPO at fair value.</t>
      </text>
    </comment>
    <comment ref="C35" authorId="0" shapeId="0">
      <text>
        <t>Matches the page sliders. Leave at 1.0 for the published figures.</t>
      </text>
    </comment>
    <comment ref="C36" authorId="0" shapeId="0">
      <text>
        <t>Matches the page sliders. Leave at 0 for the published figures.</t>
      </text>
    </comment>
    <comment ref="C38" authorId="0" shapeId="0">
      <text>
        <t>Belief: a China launch and a held premium share add 20% to the bull unit path (1.8M pairs in 2035, 12% of a 15M unit segment). (D)</t>
      </text>
    </comment>
    <comment ref="C39" authorId="0" shapeId="0">
      <text>
        <t>Belief: buyers pay 14x for a profitable premium wearables brand. Garmin trades at 28.8x trailing earnings (Robinhood, Oct 16 2026).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showGridLines="0" workbookViewId="0">
      <selection activeCell="A1" sqref="A1"/>
    </sheetView>
  </sheetViews>
  <sheetFormatPr baseColWidth="8" defaultRowHeight="15"/>
  <cols>
    <col width="6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" t="inlineStr">
        <is>
          <t>Even Realities (private) — valuation summary, USD billions of equity value</t>
        </is>
      </c>
    </row>
    <row r="2">
      <c r="A2" s="2" t="inlineStr">
        <is>
          <t>Phat Ngo · Initiation · Oct 16, 2026 · reference price is the illiquid July 2026 round · personal research, not investment advice</t>
        </is>
      </c>
    </row>
    <row r="4">
      <c r="A4" s="3" t="inlineStr">
        <is>
          <t>Scenario</t>
        </is>
      </c>
      <c r="B4" s="4" t="inlineStr">
        <is>
          <t>Probability</t>
        </is>
      </c>
      <c r="C4" s="4" t="inlineStr">
        <is>
          <t>Equity value ($bn)</t>
        </is>
      </c>
      <c r="D4" s="4" t="inlineStr">
        <is>
          <t>vs $1.0B round</t>
        </is>
      </c>
    </row>
    <row r="5">
      <c r="A5" s="5" t="inlineStr">
        <is>
          <t>Bear</t>
        </is>
      </c>
      <c r="B5" s="6">
        <f>Inputs!$C$26</f>
        <v/>
      </c>
      <c r="C5" s="7">
        <f>Model!$C$44</f>
        <v/>
      </c>
      <c r="D5" s="8">
        <f>C5/Inputs!$C$4-1</f>
        <v/>
      </c>
    </row>
    <row r="6">
      <c r="A6" s="5" t="inlineStr">
        <is>
          <t>Base</t>
        </is>
      </c>
      <c r="B6" s="6">
        <f>Inputs!$C$27</f>
        <v/>
      </c>
      <c r="C6" s="7">
        <f>Model!$C$87</f>
        <v/>
      </c>
      <c r="D6" s="8">
        <f>C6/Inputs!$C$4-1</f>
        <v/>
      </c>
    </row>
    <row r="7">
      <c r="A7" s="5" t="inlineStr">
        <is>
          <t>Bull</t>
        </is>
      </c>
      <c r="B7" s="6">
        <f>Inputs!$C$28</f>
        <v/>
      </c>
      <c r="C7" s="7">
        <f>Model!$C$130</f>
        <v/>
      </c>
      <c r="D7" s="8">
        <f>C7/Inputs!$C$4-1</f>
        <v/>
      </c>
    </row>
    <row r="9">
      <c r="A9" s="9" t="inlineStr">
        <is>
          <t>Model value, probability-weighted ($bn)</t>
        </is>
      </c>
      <c r="C9" s="10">
        <f>SUMPRODUCT(B5:B7,C5:C7)</f>
        <v/>
      </c>
    </row>
    <row r="10">
      <c r="A10" s="5" t="inlineStr">
        <is>
          <t>Reference price: July 2026 round ($bn)</t>
        </is>
      </c>
      <c r="C10" s="7">
        <f>Inputs!$C$4</f>
        <v/>
      </c>
    </row>
    <row r="11">
      <c r="A11" s="5" t="inlineStr">
        <is>
          <t>Total return to model value</t>
        </is>
      </c>
      <c r="C11" s="8">
        <f>C9/C10-1</f>
        <v/>
      </c>
    </row>
    <row r="12">
      <c r="A12" s="5" t="inlineStr">
        <is>
          <t>Expected annual return, 5 years: (value/price)^(1/5)*(1+ke)-1</t>
        </is>
      </c>
      <c r="C12" s="8">
        <f>(C9/C10)^(1/5)*(1+C13)-1</f>
        <v/>
      </c>
    </row>
    <row r="13">
      <c r="A13" s="5" t="inlineStr">
        <is>
          <t>Hurdle: cost of equity</t>
        </is>
      </c>
      <c r="C13" s="6">
        <f>Inputs!$C$16</f>
        <v/>
      </c>
    </row>
    <row r="14">
      <c r="A14" s="9" t="inlineStr">
        <is>
          <t>Model rule, 3-5 year view (Bullish if 2 pts or more above hurdle)</t>
        </is>
      </c>
      <c r="C14" s="11">
        <f>IF(((C9/C10)^(1/5)*(1+C13)-1-C13)&gt;=0.02,"Bullish",IF(((C9/C10)^(1/5)*(1+C13)-1-C13)&lt;=-0.02,"Bearish","Neutral"))</f>
        <v/>
      </c>
    </row>
    <row r="15">
      <c r="A15" s="5" t="inlineStr">
        <is>
          <t>Price below which the model rule reads Bullish ($bn)</t>
        </is>
      </c>
      <c r="C15" s="12">
        <f>C9/((1+C13+0.02)/(1+C13))^5</f>
        <v/>
      </c>
    </row>
    <row r="16">
      <c r="A16" s="5" t="inlineStr">
        <is>
          <t>Price above which the model rule reads Bearish ($bn)</t>
        </is>
      </c>
      <c r="C16" s="12">
        <f>C9/((1+C13-0.02)/(1+C13))^5</f>
        <v/>
      </c>
    </row>
    <row r="17">
      <c r="A17" s="9" t="inlineStr">
        <is>
          <t>Conviction case equity value ($bn)</t>
        </is>
      </c>
      <c r="C17" s="13">
        <f>Conviction!$C$44</f>
        <v/>
      </c>
    </row>
    <row r="18">
      <c r="A18" s="5" t="inlineStr">
        <is>
          <t>Conviction case: expected annual return, 5 years</t>
        </is>
      </c>
      <c r="C18" s="8">
        <f>(C17/C10)^(1/5)*(1+C13)-1</f>
        <v/>
      </c>
    </row>
    <row r="19">
      <c r="A19" s="9" t="inlineStr">
        <is>
          <t>Published call (conviction case under the same rule)</t>
        </is>
      </c>
      <c r="C19" s="11">
        <f>IF(((C17/C10)^(1/5)*(1+C13)-1-C13)&gt;=0.02,"Bullish",IF(((C17/C10)^(1/5)*(1+C13)-1-C13)&lt;=-0.02,"Bearish","Neutral"))</f>
        <v/>
      </c>
    </row>
    <row r="20">
      <c r="A20" s="5" t="inlineStr">
        <is>
          <t>Weights sum check (must be 100%)</t>
        </is>
      </c>
      <c r="C20" s="8">
        <f>SUM(B5:B7)</f>
        <v/>
      </c>
    </row>
    <row r="23">
      <c r="A23" s="9" t="inlineStr">
        <is>
          <t>Base case: equity value after dilution ($bn) by cost of equity (rows) and 2035 EV/EBITDA exit multiple (columns)</t>
        </is>
      </c>
    </row>
    <row r="24">
      <c r="A24" s="3" t="inlineStr">
        <is>
          <t>Cost of equity \ exit multiple</t>
        </is>
      </c>
      <c r="B24" s="14" t="n">
        <v>8</v>
      </c>
      <c r="C24" s="14" t="n">
        <v>10</v>
      </c>
      <c r="D24" s="14" t="n">
        <v>12</v>
      </c>
      <c r="E24" s="14" t="n">
        <v>15</v>
      </c>
      <c r="F24" s="14" t="n">
        <v>20</v>
      </c>
    </row>
    <row r="25">
      <c r="A25" s="15" t="n">
        <v>0.14</v>
      </c>
      <c r="B25" s="12">
        <f>(MAX(0,(SUMPRODUCT(Model!$C$68:$K$68,(1+$A25)^(-Model!$C$70:$K$70))+Inputs!$C$7+Model!$K$64*B$24*(1+$A25)^(-(Model!$K$70+0.5))+Inputs!$C$6)*1000/Inputs!$C$5))*(1-Inputs!$C$32)</f>
        <v/>
      </c>
      <c r="C25" s="12">
        <f>(MAX(0,(SUMPRODUCT(Model!$C$68:$K$68,(1+$A25)^(-Model!$C$70:$K$70))+Inputs!$C$7+Model!$K$64*C$24*(1+$A25)^(-(Model!$K$70+0.5))+Inputs!$C$6)*1000/Inputs!$C$5))*(1-Inputs!$C$32)</f>
        <v/>
      </c>
      <c r="D25" s="12">
        <f>(MAX(0,(SUMPRODUCT(Model!$C$68:$K$68,(1+$A25)^(-Model!$C$70:$K$70))+Inputs!$C$7+Model!$K$64*D$24*(1+$A25)^(-(Model!$K$70+0.5))+Inputs!$C$6)*1000/Inputs!$C$5))*(1-Inputs!$C$32)</f>
        <v/>
      </c>
      <c r="E25" s="12">
        <f>(MAX(0,(SUMPRODUCT(Model!$C$68:$K$68,(1+$A25)^(-Model!$C$70:$K$70))+Inputs!$C$7+Model!$K$64*E$24*(1+$A25)^(-(Model!$K$70+0.5))+Inputs!$C$6)*1000/Inputs!$C$5))*(1-Inputs!$C$32)</f>
        <v/>
      </c>
      <c r="F25" s="12">
        <f>(MAX(0,(SUMPRODUCT(Model!$C$68:$K$68,(1+$A25)^(-Model!$C$70:$K$70))+Inputs!$C$7+Model!$K$64*F$24*(1+$A25)^(-(Model!$K$70+0.5))+Inputs!$C$6)*1000/Inputs!$C$5))*(1-Inputs!$C$32)</f>
        <v/>
      </c>
    </row>
    <row r="26">
      <c r="A26" s="15" t="n">
        <v>0.16</v>
      </c>
      <c r="B26" s="12">
        <f>(MAX(0,(SUMPRODUCT(Model!$C$68:$K$68,(1+$A26)^(-Model!$C$70:$K$70))+Inputs!$C$7+Model!$K$64*B$24*(1+$A26)^(-(Model!$K$70+0.5))+Inputs!$C$6)*1000/Inputs!$C$5))*(1-Inputs!$C$32)</f>
        <v/>
      </c>
      <c r="C26" s="12">
        <f>(MAX(0,(SUMPRODUCT(Model!$C$68:$K$68,(1+$A26)^(-Model!$C$70:$K$70))+Inputs!$C$7+Model!$K$64*C$24*(1+$A26)^(-(Model!$K$70+0.5))+Inputs!$C$6)*1000/Inputs!$C$5))*(1-Inputs!$C$32)</f>
        <v/>
      </c>
      <c r="D26" s="12">
        <f>(MAX(0,(SUMPRODUCT(Model!$C$68:$K$68,(1+$A26)^(-Model!$C$70:$K$70))+Inputs!$C$7+Model!$K$64*D$24*(1+$A26)^(-(Model!$K$70+0.5))+Inputs!$C$6)*1000/Inputs!$C$5))*(1-Inputs!$C$32)</f>
        <v/>
      </c>
      <c r="E26" s="12">
        <f>(MAX(0,(SUMPRODUCT(Model!$C$68:$K$68,(1+$A26)^(-Model!$C$70:$K$70))+Inputs!$C$7+Model!$K$64*E$24*(1+$A26)^(-(Model!$K$70+0.5))+Inputs!$C$6)*1000/Inputs!$C$5))*(1-Inputs!$C$32)</f>
        <v/>
      </c>
      <c r="F26" s="12">
        <f>(MAX(0,(SUMPRODUCT(Model!$C$68:$K$68,(1+$A26)^(-Model!$C$70:$K$70))+Inputs!$C$7+Model!$K$64*F$24*(1+$A26)^(-(Model!$K$70+0.5))+Inputs!$C$6)*1000/Inputs!$C$5))*(1-Inputs!$C$32)</f>
        <v/>
      </c>
    </row>
    <row r="27">
      <c r="A27" s="15" t="n">
        <v>0.18</v>
      </c>
      <c r="B27" s="12">
        <f>(MAX(0,(SUMPRODUCT(Model!$C$68:$K$68,(1+$A27)^(-Model!$C$70:$K$70))+Inputs!$C$7+Model!$K$64*B$24*(1+$A27)^(-(Model!$K$70+0.5))+Inputs!$C$6)*1000/Inputs!$C$5))*(1-Inputs!$C$32)</f>
        <v/>
      </c>
      <c r="C27" s="12">
        <f>(MAX(0,(SUMPRODUCT(Model!$C$68:$K$68,(1+$A27)^(-Model!$C$70:$K$70))+Inputs!$C$7+Model!$K$64*C$24*(1+$A27)^(-(Model!$K$70+0.5))+Inputs!$C$6)*1000/Inputs!$C$5))*(1-Inputs!$C$32)</f>
        <v/>
      </c>
      <c r="D27" s="12">
        <f>(MAX(0,(SUMPRODUCT(Model!$C$68:$K$68,(1+$A27)^(-Model!$C$70:$K$70))+Inputs!$C$7+Model!$K$64*D$24*(1+$A27)^(-(Model!$K$70+0.5))+Inputs!$C$6)*1000/Inputs!$C$5))*(1-Inputs!$C$32)</f>
        <v/>
      </c>
      <c r="E27" s="12">
        <f>(MAX(0,(SUMPRODUCT(Model!$C$68:$K$68,(1+$A27)^(-Model!$C$70:$K$70))+Inputs!$C$7+Model!$K$64*E$24*(1+$A27)^(-(Model!$K$70+0.5))+Inputs!$C$6)*1000/Inputs!$C$5))*(1-Inputs!$C$32)</f>
        <v/>
      </c>
      <c r="F27" s="12">
        <f>(MAX(0,(SUMPRODUCT(Model!$C$68:$K$68,(1+$A27)^(-Model!$C$70:$K$70))+Inputs!$C$7+Model!$K$64*F$24*(1+$A27)^(-(Model!$K$70+0.5))+Inputs!$C$6)*1000/Inputs!$C$5))*(1-Inputs!$C$32)</f>
        <v/>
      </c>
    </row>
    <row r="28">
      <c r="A28" s="15" t="n">
        <v>0.202</v>
      </c>
      <c r="B28" s="12">
        <f>(MAX(0,(SUMPRODUCT(Model!$C$68:$K$68,(1+$A28)^(-Model!$C$70:$K$70))+Inputs!$C$7+Model!$K$64*B$24*(1+$A28)^(-(Model!$K$70+0.5))+Inputs!$C$6)*1000/Inputs!$C$5))*(1-Inputs!$C$32)</f>
        <v/>
      </c>
      <c r="C28" s="12">
        <f>(MAX(0,(SUMPRODUCT(Model!$C$68:$K$68,(1+$A28)^(-Model!$C$70:$K$70))+Inputs!$C$7+Model!$K$64*C$24*(1+$A28)^(-(Model!$K$70+0.5))+Inputs!$C$6)*1000/Inputs!$C$5))*(1-Inputs!$C$32)</f>
        <v/>
      </c>
      <c r="D28" s="12">
        <f>(MAX(0,(SUMPRODUCT(Model!$C$68:$K$68,(1+$A28)^(-Model!$C$70:$K$70))+Inputs!$C$7+Model!$K$64*D$24*(1+$A28)^(-(Model!$K$70+0.5))+Inputs!$C$6)*1000/Inputs!$C$5))*(1-Inputs!$C$32)</f>
        <v/>
      </c>
      <c r="E28" s="12">
        <f>(MAX(0,(SUMPRODUCT(Model!$C$68:$K$68,(1+$A28)^(-Model!$C$70:$K$70))+Inputs!$C$7+Model!$K$64*E$24*(1+$A28)^(-(Model!$K$70+0.5))+Inputs!$C$6)*1000/Inputs!$C$5))*(1-Inputs!$C$32)</f>
        <v/>
      </c>
      <c r="F28" s="12">
        <f>(MAX(0,(SUMPRODUCT(Model!$C$68:$K$68,(1+$A28)^(-Model!$C$70:$K$70))+Inputs!$C$7+Model!$K$64*F$24*(1+$A28)^(-(Model!$K$70+0.5))+Inputs!$C$6)*1000/Inputs!$C$5))*(1-Inputs!$C$32)</f>
        <v/>
      </c>
    </row>
    <row r="29">
      <c r="A29" s="15" t="n">
        <v>0.22</v>
      </c>
      <c r="B29" s="12">
        <f>(MAX(0,(SUMPRODUCT(Model!$C$68:$K$68,(1+$A29)^(-Model!$C$70:$K$70))+Inputs!$C$7+Model!$K$64*B$24*(1+$A29)^(-(Model!$K$70+0.5))+Inputs!$C$6)*1000/Inputs!$C$5))*(1-Inputs!$C$32)</f>
        <v/>
      </c>
      <c r="C29" s="12">
        <f>(MAX(0,(SUMPRODUCT(Model!$C$68:$K$68,(1+$A29)^(-Model!$C$70:$K$70))+Inputs!$C$7+Model!$K$64*C$24*(1+$A29)^(-(Model!$K$70+0.5))+Inputs!$C$6)*1000/Inputs!$C$5))*(1-Inputs!$C$32)</f>
        <v/>
      </c>
      <c r="D29" s="12">
        <f>(MAX(0,(SUMPRODUCT(Model!$C$68:$K$68,(1+$A29)^(-Model!$C$70:$K$70))+Inputs!$C$7+Model!$K$64*D$24*(1+$A29)^(-(Model!$K$70+0.5))+Inputs!$C$6)*1000/Inputs!$C$5))*(1-Inputs!$C$32)</f>
        <v/>
      </c>
      <c r="E29" s="12">
        <f>(MAX(0,(SUMPRODUCT(Model!$C$68:$K$68,(1+$A29)^(-Model!$C$70:$K$70))+Inputs!$C$7+Model!$K$64*E$24*(1+$A29)^(-(Model!$K$70+0.5))+Inputs!$C$6)*1000/Inputs!$C$5))*(1-Inputs!$C$32)</f>
        <v/>
      </c>
      <c r="F29" s="12">
        <f>(MAX(0,(SUMPRODUCT(Model!$C$68:$K$68,(1+$A29)^(-Model!$C$70:$K$70))+Inputs!$C$7+Model!$K$64*F$24*(1+$A29)^(-(Model!$K$70+0.5))+Inputs!$C$6)*1000/Inputs!$C$5))*(1-Inputs!$C$32)</f>
        <v/>
      </c>
    </row>
    <row r="30">
      <c r="A30" s="15" t="n">
        <v>0.24</v>
      </c>
      <c r="B30" s="12">
        <f>(MAX(0,(SUMPRODUCT(Model!$C$68:$K$68,(1+$A30)^(-Model!$C$70:$K$70))+Inputs!$C$7+Model!$K$64*B$24*(1+$A30)^(-(Model!$K$70+0.5))+Inputs!$C$6)*1000/Inputs!$C$5))*(1-Inputs!$C$32)</f>
        <v/>
      </c>
      <c r="C30" s="12">
        <f>(MAX(0,(SUMPRODUCT(Model!$C$68:$K$68,(1+$A30)^(-Model!$C$70:$K$70))+Inputs!$C$7+Model!$K$64*C$24*(1+$A30)^(-(Model!$K$70+0.5))+Inputs!$C$6)*1000/Inputs!$C$5))*(1-Inputs!$C$32)</f>
        <v/>
      </c>
      <c r="D30" s="12">
        <f>(MAX(0,(SUMPRODUCT(Model!$C$68:$K$68,(1+$A30)^(-Model!$C$70:$K$70))+Inputs!$C$7+Model!$K$64*D$24*(1+$A30)^(-(Model!$K$70+0.5))+Inputs!$C$6)*1000/Inputs!$C$5))*(1-Inputs!$C$32)</f>
        <v/>
      </c>
      <c r="E30" s="12">
        <f>(MAX(0,(SUMPRODUCT(Model!$C$68:$K$68,(1+$A30)^(-Model!$C$70:$K$70))+Inputs!$C$7+Model!$K$64*E$24*(1+$A30)^(-(Model!$K$70+0.5))+Inputs!$C$6)*1000/Inputs!$C$5))*(1-Inputs!$C$32)</f>
        <v/>
      </c>
      <c r="F30" s="12">
        <f>(MAX(0,(SUMPRODUCT(Model!$C$68:$K$68,(1+$A30)^(-Model!$C$70:$K$70))+Inputs!$C$7+Model!$K$64*F$24*(1+$A30)^(-(Model!$K$70+0.5))+Inputs!$C$6)*1000/Inputs!$C$5))*(1-Inputs!$C$32)</f>
        <v/>
      </c>
    </row>
    <row r="33">
      <c r="A33" s="9" t="inlineStr">
        <is>
          <t>EV / sales cross-check on base-case 2027E revenue, after base dilution (dated comps; P/S, not EV)</t>
        </is>
      </c>
    </row>
    <row r="34">
      <c r="A34" s="3" t="inlineStr">
        <is>
          <t>Company</t>
        </is>
      </c>
      <c r="B34" s="4" t="inlineStr">
        <is>
          <t>Value ($bn)</t>
        </is>
      </c>
      <c r="C34" s="4" t="inlineStr">
        <is>
          <t>Sales ($bn)</t>
        </is>
      </c>
      <c r="D34" s="4" t="inlineStr">
        <is>
          <t>Multiple</t>
        </is>
      </c>
      <c r="E34" s="4" t="inlineStr">
        <is>
          <t>Implied Even equity ($bn)</t>
        </is>
      </c>
      <c r="F34" s="4" t="inlineStr">
        <is>
          <t>Basis</t>
        </is>
      </c>
    </row>
    <row r="35">
      <c r="A35" s="5" t="inlineStr">
        <is>
          <t>XREAL (private, Jan 2026 round)</t>
        </is>
      </c>
      <c r="B35" s="16" t="n">
        <v>1</v>
      </c>
      <c r="C35" s="16" t="n">
        <v>0.07267605633802818</v>
      </c>
      <c r="D35" s="17">
        <f>B35/C35</f>
        <v/>
      </c>
      <c r="E35" s="12">
        <f>(D35*Model!$C$53+Inputs!$C$6)*(1-Inputs!$C$32)</f>
        <v/>
      </c>
      <c r="F35" s="2" t="inlineStr">
        <is>
          <t>2025 revenue</t>
        </is>
      </c>
    </row>
    <row r="36">
      <c r="A36" s="5" t="inlineStr">
        <is>
          <t>Garmin (GRMN)</t>
        </is>
      </c>
      <c r="B36" s="16" t="n">
        <v>55.04</v>
      </c>
      <c r="C36" s="16" t="n">
        <v>7.25</v>
      </c>
      <c r="D36" s="17">
        <f>B36/C36</f>
        <v/>
      </c>
      <c r="E36" s="12">
        <f>(D36*Model!$C$53+Inputs!$C$6)*(1-Inputs!$C$32)</f>
        <v/>
      </c>
      <c r="F36" s="2" t="inlineStr">
        <is>
          <t>FY2025 revenue</t>
        </is>
      </c>
    </row>
    <row r="37">
      <c r="A37" s="5" t="inlineStr">
        <is>
          <t>Sonos (SONO)</t>
        </is>
      </c>
      <c r="B37" s="16" t="n">
        <v>2.067</v>
      </c>
      <c r="C37" s="16" t="n">
        <v>1.443</v>
      </c>
      <c r="D37" s="17">
        <f>B37/C37</f>
        <v/>
      </c>
      <c r="E37" s="12">
        <f>(D37*Model!$C$53+Inputs!$C$6)*(1-Inputs!$C$32)</f>
        <v/>
      </c>
      <c r="F37" s="2" t="inlineStr">
        <is>
          <t>FY2025 revenue</t>
        </is>
      </c>
    </row>
    <row r="38">
      <c r="A38" s="5" t="inlineStr">
        <is>
          <t>GoPro (GPRO)</t>
        </is>
      </c>
      <c r="B38" s="16" t="n">
        <v>0.199</v>
      </c>
      <c r="C38" s="16" t="n">
        <v>0.569</v>
      </c>
      <c r="D38" s="17">
        <f>B38/C38</f>
        <v/>
      </c>
      <c r="E38" s="12">
        <f>(D38*Model!$C$53+Inputs!$C$6)*(1-Inputs!$C$32)</f>
        <v/>
      </c>
      <c r="F38" s="2" t="inlineStr">
        <is>
          <t>revenue, four quarters to Jun 2026</t>
        </is>
      </c>
    </row>
    <row r="39">
      <c r="A39" s="2" t="inlineStr">
        <is>
          <t>Sources: Robinhood market data, close Oct 16 2026 (GRMN, SONO, GPRO); Garmin FY2025 release (Feb 18 2026); Sonos FY2025 10-K; GoPro four quarters to Jun 2026; XREAL ~$1B round (Bloomberg, Jan 8 2026) on 2025 revenue of RMB 516M (HKEX filing, Apr 1 2026), RMB 7.1 per USD.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9"/>
  <sheetViews>
    <sheetView showGridLines="0" workbookViewId="0">
      <selection activeCell="A1" sqref="A1"/>
    </sheetView>
  </sheetViews>
  <sheetFormatPr baseColWidth="8" defaultRowHeight="15"/>
  <cols>
    <col width="62" customWidth="1" min="1" max="1"/>
    <col width="14" customWidth="1" min="3" max="3"/>
  </cols>
  <sheetData>
    <row r="1">
      <c r="A1" s="1" t="inlineStr">
        <is>
          <t>Even Realities (private) — inputs</t>
        </is>
      </c>
    </row>
    <row r="2">
      <c r="A2" s="2" t="inlineStr">
        <is>
          <t>Blue = hardcoded input (change these). Black = formula. Green = link. Yellow = key judgment. Tags: (A) reported, (C) company-stated, (E) third-party estimate, (D) author estimate. The company discloses no revenue, units or margins.</t>
        </is>
      </c>
    </row>
    <row r="3">
      <c r="A3" s="18" t="inlineStr">
        <is>
          <t>Reference price and balance sheet</t>
        </is>
      </c>
      <c r="C3" s="19" t="n"/>
    </row>
    <row r="4">
      <c r="A4" s="5" t="inlineStr">
        <is>
          <t>Reference price: July 2026 post-money valuation ($bn)</t>
        </is>
      </c>
      <c r="C4" s="20" t="n">
        <v>1</v>
      </c>
    </row>
    <row r="5">
      <c r="A5" s="5" t="inlineStr">
        <is>
          <t>Units convention: "shares" (1,000 = per-share lines read in $bn)</t>
        </is>
      </c>
      <c r="C5" s="21" t="n">
        <v>1000</v>
      </c>
    </row>
    <row r="6">
      <c r="A6" s="5" t="inlineStr">
        <is>
          <t>Net cash, estimate ($bn)</t>
        </is>
      </c>
      <c r="C6" s="20" t="n">
        <v>0.17</v>
      </c>
    </row>
    <row r="7">
      <c r="A7" s="5" t="inlineStr">
        <is>
          <t>Q4 2026 unlevered FCF, estimate ($bn)</t>
        </is>
      </c>
      <c r="C7" s="20" t="n">
        <v>-0.005</v>
      </c>
    </row>
    <row r="8">
      <c r="A8" s="5" t="inlineStr">
        <is>
          <t>Valuation date (decimal year)</t>
        </is>
      </c>
      <c r="C8" s="22" t="n">
        <v>2026.79</v>
      </c>
    </row>
    <row r="9">
      <c r="A9" s="5" t="inlineStr">
        <is>
          <t>2026E revenue ($bn)</t>
        </is>
      </c>
      <c r="C9" s="16" t="n">
        <v>0.051</v>
      </c>
    </row>
    <row r="10">
      <c r="A10" s="18" t="inlineStr">
        <is>
          <t>Discount rate</t>
        </is>
      </c>
      <c r="C10" s="19" t="n"/>
    </row>
    <row r="11">
      <c r="A11" s="5" t="inlineStr">
        <is>
          <t>Risk-free rate</t>
        </is>
      </c>
      <c r="C11" s="15" t="n">
        <v>0.052</v>
      </c>
    </row>
    <row r="12">
      <c r="A12" s="5" t="inlineStr">
        <is>
          <t>Beta</t>
        </is>
      </c>
      <c r="C12" s="22" t="n">
        <v>1.8</v>
      </c>
    </row>
    <row r="13">
      <c r="A13" s="5" t="inlineStr">
        <is>
          <t>Equity risk premium</t>
        </is>
      </c>
      <c r="C13" s="15" t="n">
        <v>0.05</v>
      </c>
    </row>
    <row r="14">
      <c r="A14" s="5" t="inlineStr">
        <is>
          <t>CAPM cost of equity</t>
        </is>
      </c>
      <c r="C14" s="8">
        <f>C11+C12*C13</f>
        <v/>
      </c>
    </row>
    <row r="15">
      <c r="A15" s="5" t="inlineStr">
        <is>
          <t>Private-company premium</t>
        </is>
      </c>
      <c r="C15" s="23" t="n">
        <v>0.06</v>
      </c>
    </row>
    <row r="16">
      <c r="A16" s="5" t="inlineStr">
        <is>
          <t>Cost of equity used (= WACC; no debt)</t>
        </is>
      </c>
      <c r="C16" s="24">
        <f>C14+C15</f>
        <v/>
      </c>
    </row>
    <row r="17">
      <c r="A17" s="18" t="inlineStr">
        <is>
          <t>Terminal value and operating assumptions</t>
        </is>
      </c>
      <c r="C17" s="19" t="n"/>
    </row>
    <row r="18">
      <c r="A18" s="5" t="inlineStr">
        <is>
          <t>Exit multiple, EV/EBITDA (2035)</t>
        </is>
      </c>
      <c r="C18" s="25" t="n">
        <v>12</v>
      </c>
    </row>
    <row r="19">
      <c r="A19" s="5" t="inlineStr">
        <is>
          <t>Perpetual growth (cross-check)</t>
        </is>
      </c>
      <c r="C19" s="15" t="n">
        <v>0.03</v>
      </c>
    </row>
    <row r="20">
      <c r="A20" s="5" t="inlineStr">
        <is>
          <t>Terminal tax rate</t>
        </is>
      </c>
      <c r="C20" s="15" t="n">
        <v>0.2</v>
      </c>
    </row>
    <row r="21">
      <c r="A21" s="5" t="inlineStr">
        <is>
          <t>Terminal capex / D&amp;A</t>
        </is>
      </c>
      <c r="C21" s="26" t="n">
        <v>1.1</v>
      </c>
    </row>
    <row r="22">
      <c r="A22" s="5" t="inlineStr">
        <is>
          <t>Net working capital, % of revenue change</t>
        </is>
      </c>
      <c r="C22" s="15" t="n">
        <v>0.1</v>
      </c>
    </row>
    <row r="23">
      <c r="A23" s="5" t="inlineStr">
        <is>
          <t>Cash tax rate on positive EBIT</t>
        </is>
      </c>
      <c r="C23" s="15" t="n">
        <v>0.15</v>
      </c>
    </row>
    <row r="24">
      <c r="A24" s="5" t="inlineStr">
        <is>
          <t>D&amp;A, % of revenue</t>
        </is>
      </c>
      <c r="C24" s="15" t="n">
        <v>0.025</v>
      </c>
    </row>
    <row r="25">
      <c r="A25" s="18" t="inlineStr">
        <is>
          <t>Scenario weights</t>
        </is>
      </c>
      <c r="C25" s="19" t="n"/>
    </row>
    <row r="26">
      <c r="A26" s="5" t="inlineStr">
        <is>
          <t>Bear probability</t>
        </is>
      </c>
      <c r="C26" s="23" t="n">
        <v>0.25</v>
      </c>
    </row>
    <row r="27">
      <c r="A27" s="5" t="inlineStr">
        <is>
          <t>Base probability</t>
        </is>
      </c>
      <c r="C27" s="23" t="n">
        <v>0.5</v>
      </c>
    </row>
    <row r="28">
      <c r="A28" s="5" t="inlineStr">
        <is>
          <t>Bull probability</t>
        </is>
      </c>
      <c r="C28" s="23" t="n">
        <v>0.25</v>
      </c>
    </row>
    <row r="29">
      <c r="A29" s="5" t="inlineStr">
        <is>
          <t>Bear floor, EV / 2027E sales</t>
        </is>
      </c>
      <c r="C29" s="27" t="n">
        <v>0.8</v>
      </c>
    </row>
    <row r="30">
      <c r="A30" s="18" t="inlineStr">
        <is>
          <t>Expected future dilution (option pool and later rounds)</t>
        </is>
      </c>
      <c r="C30" s="19" t="n"/>
    </row>
    <row r="31">
      <c r="A31" s="5" t="inlineStr">
        <is>
          <t>Bear dilution</t>
        </is>
      </c>
      <c r="C31" s="15" t="n">
        <v>0.25</v>
      </c>
    </row>
    <row r="32">
      <c r="A32" s="5" t="inlineStr">
        <is>
          <t>Base dilution</t>
        </is>
      </c>
      <c r="C32" s="23" t="n">
        <v>0.12</v>
      </c>
    </row>
    <row r="33">
      <c r="A33" s="5" t="inlineStr">
        <is>
          <t>Bull dilution</t>
        </is>
      </c>
      <c r="C33" s="15" t="n">
        <v>0.1</v>
      </c>
    </row>
    <row r="34">
      <c r="A34" s="18" t="inlineStr">
        <is>
          <t>Model levers (published model: 1.0 and 0)</t>
        </is>
      </c>
      <c r="C34" s="19" t="n"/>
    </row>
    <row r="35">
      <c r="A35" s="5" t="inlineStr">
        <is>
          <t>Unit volume multiplier, model</t>
        </is>
      </c>
      <c r="C35" s="26" t="n">
        <v>1</v>
      </c>
    </row>
    <row r="36">
      <c r="A36" s="5" t="inlineStr">
        <is>
          <t>Hardware gross margin shift, model</t>
        </is>
      </c>
      <c r="C36" s="15" t="n">
        <v>0</v>
      </c>
    </row>
    <row r="37">
      <c r="A37" s="18" t="inlineStr">
        <is>
          <t>Conviction overrides (owner's call; see Conviction sheet)</t>
        </is>
      </c>
      <c r="C37" s="19" t="n"/>
    </row>
    <row r="38">
      <c r="A38" s="5" t="inlineStr">
        <is>
          <t>Conviction: unit multiplier on bull drivers</t>
        </is>
      </c>
      <c r="C38" s="28" t="n">
        <v>1.2</v>
      </c>
    </row>
    <row r="39">
      <c r="A39" s="5" t="inlineStr">
        <is>
          <t>Conviction: exit multiple, EV/EBITDA (2035)</t>
        </is>
      </c>
      <c r="C39" s="25" t="n">
        <v>14</v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8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</cols>
  <sheetData>
    <row r="1">
      <c r="A1" s="1" t="inlineStr">
        <is>
          <t>Scenario drivers, 2027-2035 (all author estimates, tag D)</t>
        </is>
      </c>
    </row>
    <row r="2">
      <c r="A2" s="2" t="inlineStr">
        <is>
          <t>Edit the blue cells. Each block feeds the matching block on the Model sheet; the Conviction sheet reads the bull block.</t>
        </is>
      </c>
    </row>
    <row r="4">
      <c r="A4" s="3" t="inlineStr">
        <is>
          <t>Shared driver</t>
        </is>
      </c>
      <c r="B4" s="4" t="inlineStr">
        <is>
          <t>2027</t>
        </is>
      </c>
      <c r="C4" s="4" t="inlineStr">
        <is>
          <t>2028</t>
        </is>
      </c>
      <c r="D4" s="4" t="inlineStr">
        <is>
          <t>2029</t>
        </is>
      </c>
      <c r="E4" s="4" t="inlineStr">
        <is>
          <t>2030</t>
        </is>
      </c>
      <c r="F4" s="4" t="inlineStr">
        <is>
          <t>2031</t>
        </is>
      </c>
      <c r="G4" s="4" t="inlineStr">
        <is>
          <t>2032</t>
        </is>
      </c>
      <c r="H4" s="4" t="inlineStr">
        <is>
          <t>2033</t>
        </is>
      </c>
      <c r="I4" s="4" t="inlineStr">
        <is>
          <t>2034</t>
        </is>
      </c>
      <c r="J4" s="4" t="inlineStr">
        <is>
          <t>2035</t>
        </is>
      </c>
    </row>
    <row r="5">
      <c r="A5" s="5" t="inlineStr">
        <is>
          <t>Capital spending, % of revenue</t>
        </is>
      </c>
      <c r="B5" s="15" t="n">
        <v>0.04</v>
      </c>
      <c r="C5" s="15" t="n">
        <v>0.04</v>
      </c>
      <c r="D5" s="15" t="n">
        <v>0.04</v>
      </c>
      <c r="E5" s="15" t="n">
        <v>0.03</v>
      </c>
      <c r="F5" s="15" t="n">
        <v>0.03</v>
      </c>
      <c r="G5" s="15" t="n">
        <v>0.03</v>
      </c>
      <c r="H5" s="15" t="n">
        <v>0.03</v>
      </c>
      <c r="I5" s="15" t="n">
        <v>0.03</v>
      </c>
      <c r="J5" s="15" t="n">
        <v>0.03</v>
      </c>
    </row>
    <row r="6">
      <c r="A6" s="5" t="inlineStr">
        <is>
          <t>Display-glasses segment, millions of units (D; IDC, Omdia, TrendForce brackets)</t>
        </is>
      </c>
      <c r="B6" s="29" t="n">
        <v>1.2</v>
      </c>
      <c r="C6" s="29" t="n">
        <v>2.2</v>
      </c>
      <c r="D6" s="29" t="n">
        <v>3.5</v>
      </c>
      <c r="E6" s="29" t="n">
        <v>5</v>
      </c>
      <c r="F6" s="29" t="n">
        <v>7</v>
      </c>
      <c r="G6" s="29" t="n">
        <v>9</v>
      </c>
      <c r="H6" s="29" t="n">
        <v>11</v>
      </c>
      <c r="I6" s="29" t="n">
        <v>13</v>
      </c>
      <c r="J6" s="29" t="n">
        <v>15</v>
      </c>
    </row>
    <row r="8">
      <c r="A8" s="9" t="inlineStr">
        <is>
          <t>Bear case</t>
        </is>
      </c>
    </row>
    <row r="9">
      <c r="A9" s="2" t="inlineStr">
        <is>
          <t>Meta takes the premium display niche with Ray-Ban Display at lower prices, Google and Samsung ship display glasses in 2027 and Apple follows. Even never launches in China at scale, its share of display glasses falls toward 1%, prices slide toward $460 and gross margin toward XREAL’s 32 to 35%. Management cuts costs to break even and raises again on worse terms.</t>
        </is>
      </c>
    </row>
    <row r="10">
      <c r="A10" s="3" t="inlineStr">
        <is>
          <t>Driver</t>
        </is>
      </c>
      <c r="B10" s="4" t="inlineStr">
        <is>
          <t>2027</t>
        </is>
      </c>
      <c r="C10" s="4" t="inlineStr">
        <is>
          <t>2028</t>
        </is>
      </c>
      <c r="D10" s="4" t="inlineStr">
        <is>
          <t>2029</t>
        </is>
      </c>
      <c r="E10" s="4" t="inlineStr">
        <is>
          <t>2030</t>
        </is>
      </c>
      <c r="F10" s="4" t="inlineStr">
        <is>
          <t>2031</t>
        </is>
      </c>
      <c r="G10" s="4" t="inlineStr">
        <is>
          <t>2032</t>
        </is>
      </c>
      <c r="H10" s="4" t="inlineStr">
        <is>
          <t>2033</t>
        </is>
      </c>
      <c r="I10" s="4" t="inlineStr">
        <is>
          <t>2034</t>
        </is>
      </c>
      <c r="J10" s="4" t="inlineStr">
        <is>
          <t>2035</t>
        </is>
      </c>
    </row>
    <row r="11">
      <c r="A11" s="5" t="inlineStr">
        <is>
          <t>Units shipped (thousands)</t>
        </is>
      </c>
      <c r="B11" s="30" t="n">
        <v>80</v>
      </c>
      <c r="C11" s="30" t="n">
        <v>95</v>
      </c>
      <c r="D11" s="30" t="n">
        <v>105</v>
      </c>
      <c r="E11" s="30" t="n">
        <v>110</v>
      </c>
      <c r="F11" s="30" t="n">
        <v>110</v>
      </c>
      <c r="G11" s="30" t="n">
        <v>110</v>
      </c>
      <c r="H11" s="30" t="n">
        <v>105</v>
      </c>
      <c r="I11" s="30" t="n">
        <v>100</v>
      </c>
      <c r="J11" s="30" t="n">
        <v>100</v>
      </c>
    </row>
    <row r="12">
      <c r="A12" s="5" t="inlineStr">
        <is>
          <t>Net revenue per pair ($)</t>
        </is>
      </c>
      <c r="B12" s="21" t="n">
        <v>720</v>
      </c>
      <c r="C12" s="21" t="n">
        <v>660</v>
      </c>
      <c r="D12" s="21" t="n">
        <v>600</v>
      </c>
      <c r="E12" s="21" t="n">
        <v>560</v>
      </c>
      <c r="F12" s="21" t="n">
        <v>520</v>
      </c>
      <c r="G12" s="21" t="n">
        <v>500</v>
      </c>
      <c r="H12" s="21" t="n">
        <v>480</v>
      </c>
      <c r="I12" s="21" t="n">
        <v>470</v>
      </c>
      <c r="J12" s="21" t="n">
        <v>460</v>
      </c>
    </row>
    <row r="13">
      <c r="A13" s="5" t="inlineStr">
        <is>
          <t>Hardware gross margin</t>
        </is>
      </c>
      <c r="B13" s="15" t="n">
        <v>0.4</v>
      </c>
      <c r="C13" s="15" t="n">
        <v>0.37</v>
      </c>
      <c r="D13" s="15" t="n">
        <v>0.35</v>
      </c>
      <c r="E13" s="15" t="n">
        <v>0.33</v>
      </c>
      <c r="F13" s="15" t="n">
        <v>0.32</v>
      </c>
      <c r="G13" s="15" t="n">
        <v>0.32</v>
      </c>
      <c r="H13" s="15" t="n">
        <v>0.32</v>
      </c>
      <c r="I13" s="15" t="n">
        <v>0.32</v>
      </c>
      <c r="J13" s="15" t="n">
        <v>0.32</v>
      </c>
    </row>
    <row r="14">
      <c r="A14" s="5" t="inlineStr">
        <is>
          <t>Software revenue ($bn)</t>
        </is>
      </c>
      <c r="B14" s="16" t="n">
        <v>0</v>
      </c>
      <c r="C14" s="16" t="n">
        <v>0</v>
      </c>
      <c r="D14" s="16" t="n">
        <v>0.001</v>
      </c>
      <c r="E14" s="16" t="n">
        <v>0.002</v>
      </c>
      <c r="F14" s="16" t="n">
        <v>0.003</v>
      </c>
      <c r="G14" s="16" t="n">
        <v>0.003</v>
      </c>
      <c r="H14" s="16" t="n">
        <v>0.003</v>
      </c>
      <c r="I14" s="16" t="n">
        <v>0.003</v>
      </c>
      <c r="J14" s="16" t="n">
        <v>0.003</v>
      </c>
    </row>
    <row r="15">
      <c r="A15" s="5" t="inlineStr">
        <is>
          <t>Software gross margin</t>
        </is>
      </c>
      <c r="B15" s="15" t="n">
        <v>0.6</v>
      </c>
      <c r="C15" s="15" t="n">
        <v>0.6</v>
      </c>
      <c r="D15" s="15" t="n">
        <v>0.6</v>
      </c>
      <c r="E15" s="15" t="n">
        <v>0.6</v>
      </c>
      <c r="F15" s="15" t="n">
        <v>0.6</v>
      </c>
      <c r="G15" s="15" t="n">
        <v>0.6</v>
      </c>
      <c r="H15" s="15" t="n">
        <v>0.6</v>
      </c>
      <c r="I15" s="15" t="n">
        <v>0.6</v>
      </c>
      <c r="J15" s="15" t="n">
        <v>0.6</v>
      </c>
    </row>
    <row r="16">
      <c r="A16" s="5" t="inlineStr">
        <is>
          <t>Operating expenses incl. stock comp ($bn)</t>
        </is>
      </c>
      <c r="B16" s="16" t="n">
        <v>0.04</v>
      </c>
      <c r="C16" s="16" t="n">
        <v>0.036</v>
      </c>
      <c r="D16" s="16" t="n">
        <v>0.03</v>
      </c>
      <c r="E16" s="16" t="n">
        <v>0.026</v>
      </c>
      <c r="F16" s="16" t="n">
        <v>0.023</v>
      </c>
      <c r="G16" s="16" t="n">
        <v>0.021</v>
      </c>
      <c r="H16" s="16" t="n">
        <v>0.02</v>
      </c>
      <c r="I16" s="16" t="n">
        <v>0.019</v>
      </c>
      <c r="J16" s="16" t="n">
        <v>0.019</v>
      </c>
    </row>
    <row r="19">
      <c r="A19" s="9" t="inlineStr">
        <is>
          <t>Base case</t>
        </is>
      </c>
    </row>
    <row r="20">
      <c r="A20" s="2" t="inlineStr">
        <is>
          <t>Display glasses grow roughly as IDC expects and Even stays a premium, prescription-first brand. Its share of the segment drifts from 11% to under 4% as Meta, Google, Samsung and Apple scale, partly offset by a China launch with Meituan and Tencent. Net price per order eases from $780 to $620, gross margin holds in the mid-40s and operating margin settles near 12%.</t>
        </is>
      </c>
    </row>
    <row r="21">
      <c r="A21" s="3" t="inlineStr">
        <is>
          <t>Driver</t>
        </is>
      </c>
      <c r="B21" s="4" t="inlineStr">
        <is>
          <t>2027</t>
        </is>
      </c>
      <c r="C21" s="4" t="inlineStr">
        <is>
          <t>2028</t>
        </is>
      </c>
      <c r="D21" s="4" t="inlineStr">
        <is>
          <t>2029</t>
        </is>
      </c>
      <c r="E21" s="4" t="inlineStr">
        <is>
          <t>2030</t>
        </is>
      </c>
      <c r="F21" s="4" t="inlineStr">
        <is>
          <t>2031</t>
        </is>
      </c>
      <c r="G21" s="4" t="inlineStr">
        <is>
          <t>2032</t>
        </is>
      </c>
      <c r="H21" s="4" t="inlineStr">
        <is>
          <t>2033</t>
        </is>
      </c>
      <c r="I21" s="4" t="inlineStr">
        <is>
          <t>2034</t>
        </is>
      </c>
      <c r="J21" s="4" t="inlineStr">
        <is>
          <t>2035</t>
        </is>
      </c>
    </row>
    <row r="22">
      <c r="A22" s="5" t="inlineStr">
        <is>
          <t>Units shipped (thousands)</t>
        </is>
      </c>
      <c r="B22" s="30" t="n">
        <v>110</v>
      </c>
      <c r="C22" s="30" t="n">
        <v>170</v>
      </c>
      <c r="D22" s="30" t="n">
        <v>240</v>
      </c>
      <c r="E22" s="30" t="n">
        <v>300</v>
      </c>
      <c r="F22" s="30" t="n">
        <v>360</v>
      </c>
      <c r="G22" s="30" t="n">
        <v>420</v>
      </c>
      <c r="H22" s="30" t="n">
        <v>470</v>
      </c>
      <c r="I22" s="30" t="n">
        <v>510</v>
      </c>
      <c r="J22" s="30" t="n">
        <v>540</v>
      </c>
    </row>
    <row r="23">
      <c r="A23" s="5" t="inlineStr">
        <is>
          <t>Net revenue per pair ($)</t>
        </is>
      </c>
      <c r="B23" s="21" t="n">
        <v>760</v>
      </c>
      <c r="C23" s="21" t="n">
        <v>740</v>
      </c>
      <c r="D23" s="21" t="n">
        <v>720</v>
      </c>
      <c r="E23" s="21" t="n">
        <v>700</v>
      </c>
      <c r="F23" s="21" t="n">
        <v>680</v>
      </c>
      <c r="G23" s="21" t="n">
        <v>660</v>
      </c>
      <c r="H23" s="21" t="n">
        <v>640</v>
      </c>
      <c r="I23" s="21" t="n">
        <v>630</v>
      </c>
      <c r="J23" s="21" t="n">
        <v>620</v>
      </c>
    </row>
    <row r="24">
      <c r="A24" s="5" t="inlineStr">
        <is>
          <t>Hardware gross margin</t>
        </is>
      </c>
      <c r="B24" s="15" t="n">
        <v>0.45</v>
      </c>
      <c r="C24" s="15" t="n">
        <v>0.46</v>
      </c>
      <c r="D24" s="15" t="n">
        <v>0.46</v>
      </c>
      <c r="E24" s="15" t="n">
        <v>0.45</v>
      </c>
      <c r="F24" s="15" t="n">
        <v>0.45</v>
      </c>
      <c r="G24" s="15" t="n">
        <v>0.44</v>
      </c>
      <c r="H24" s="15" t="n">
        <v>0.44</v>
      </c>
      <c r="I24" s="15" t="n">
        <v>0.43</v>
      </c>
      <c r="J24" s="15" t="n">
        <v>0.43</v>
      </c>
    </row>
    <row r="25">
      <c r="A25" s="5" t="inlineStr">
        <is>
          <t>Software revenue ($bn)</t>
        </is>
      </c>
      <c r="B25" s="16" t="n">
        <v>0</v>
      </c>
      <c r="C25" s="16" t="n">
        <v>0.003</v>
      </c>
      <c r="D25" s="16" t="n">
        <v>0.008</v>
      </c>
      <c r="E25" s="16" t="n">
        <v>0.015</v>
      </c>
      <c r="F25" s="16" t="n">
        <v>0.022</v>
      </c>
      <c r="G25" s="16" t="n">
        <v>0.03</v>
      </c>
      <c r="H25" s="16" t="n">
        <v>0.038</v>
      </c>
      <c r="I25" s="16" t="n">
        <v>0.045</v>
      </c>
      <c r="J25" s="16" t="n">
        <v>0.052</v>
      </c>
    </row>
    <row r="26">
      <c r="A26" s="5" t="inlineStr">
        <is>
          <t>Software gross margin</t>
        </is>
      </c>
      <c r="B26" s="15" t="n">
        <v>0.7</v>
      </c>
      <c r="C26" s="15" t="n">
        <v>0.7</v>
      </c>
      <c r="D26" s="15" t="n">
        <v>0.7</v>
      </c>
      <c r="E26" s="15" t="n">
        <v>0.7</v>
      </c>
      <c r="F26" s="15" t="n">
        <v>0.7</v>
      </c>
      <c r="G26" s="15" t="n">
        <v>0.7</v>
      </c>
      <c r="H26" s="15" t="n">
        <v>0.7</v>
      </c>
      <c r="I26" s="15" t="n">
        <v>0.7</v>
      </c>
      <c r="J26" s="15" t="n">
        <v>0.7</v>
      </c>
    </row>
    <row r="27">
      <c r="A27" s="5" t="inlineStr">
        <is>
          <t>Operating expenses incl. stock comp ($bn)</t>
        </is>
      </c>
      <c r="B27" s="16" t="n">
        <v>0.045</v>
      </c>
      <c r="C27" s="16" t="n">
        <v>0.06</v>
      </c>
      <c r="D27" s="16" t="n">
        <v>0.075</v>
      </c>
      <c r="E27" s="16" t="n">
        <v>0.08799999999999999</v>
      </c>
      <c r="F27" s="16" t="n">
        <v>0.1</v>
      </c>
      <c r="G27" s="16" t="n">
        <v>0.11</v>
      </c>
      <c r="H27" s="16" t="n">
        <v>0.12</v>
      </c>
      <c r="I27" s="16" t="n">
        <v>0.128</v>
      </c>
      <c r="J27" s="16" t="n">
        <v>0.135</v>
      </c>
    </row>
    <row r="30">
      <c r="A30" s="9" t="inlineStr">
        <is>
          <t>Bull case</t>
        </is>
      </c>
    </row>
    <row r="31">
      <c r="A31" s="2" t="inlineStr">
        <is>
          <t>Even becomes the Garmin of display glasses: the default premium, prescription-first choice for professionals. China opens through Meituan and Tencent, it keeps about a tenth of a larger segment (1.5M units in 2035), holds a 50% hardware gross margin and builds a paid software layer, reaching an operating margin near 20%.</t>
        </is>
      </c>
    </row>
    <row r="32">
      <c r="A32" s="3" t="inlineStr">
        <is>
          <t>Driver</t>
        </is>
      </c>
      <c r="B32" s="4" t="inlineStr">
        <is>
          <t>2027</t>
        </is>
      </c>
      <c r="C32" s="4" t="inlineStr">
        <is>
          <t>2028</t>
        </is>
      </c>
      <c r="D32" s="4" t="inlineStr">
        <is>
          <t>2029</t>
        </is>
      </c>
      <c r="E32" s="4" t="inlineStr">
        <is>
          <t>2030</t>
        </is>
      </c>
      <c r="F32" s="4" t="inlineStr">
        <is>
          <t>2031</t>
        </is>
      </c>
      <c r="G32" s="4" t="inlineStr">
        <is>
          <t>2032</t>
        </is>
      </c>
      <c r="H32" s="4" t="inlineStr">
        <is>
          <t>2033</t>
        </is>
      </c>
      <c r="I32" s="4" t="inlineStr">
        <is>
          <t>2034</t>
        </is>
      </c>
      <c r="J32" s="4" t="inlineStr">
        <is>
          <t>2035</t>
        </is>
      </c>
    </row>
    <row r="33">
      <c r="A33" s="5" t="inlineStr">
        <is>
          <t>Units shipped (thousands)</t>
        </is>
      </c>
      <c r="B33" s="30" t="n">
        <v>150</v>
      </c>
      <c r="C33" s="30" t="n">
        <v>260</v>
      </c>
      <c r="D33" s="30" t="n">
        <v>400</v>
      </c>
      <c r="E33" s="30" t="n">
        <v>560</v>
      </c>
      <c r="F33" s="30" t="n">
        <v>750</v>
      </c>
      <c r="G33" s="30" t="n">
        <v>950</v>
      </c>
      <c r="H33" s="30" t="n">
        <v>1150</v>
      </c>
      <c r="I33" s="30" t="n">
        <v>1350</v>
      </c>
      <c r="J33" s="30" t="n">
        <v>1500</v>
      </c>
    </row>
    <row r="34">
      <c r="A34" s="5" t="inlineStr">
        <is>
          <t>Net revenue per pair ($)</t>
        </is>
      </c>
      <c r="B34" s="21" t="n">
        <v>790</v>
      </c>
      <c r="C34" s="21" t="n">
        <v>780</v>
      </c>
      <c r="D34" s="21" t="n">
        <v>760</v>
      </c>
      <c r="E34" s="21" t="n">
        <v>740</v>
      </c>
      <c r="F34" s="21" t="n">
        <v>720</v>
      </c>
      <c r="G34" s="21" t="n">
        <v>700</v>
      </c>
      <c r="H34" s="21" t="n">
        <v>690</v>
      </c>
      <c r="I34" s="21" t="n">
        <v>680</v>
      </c>
      <c r="J34" s="21" t="n">
        <v>670</v>
      </c>
    </row>
    <row r="35">
      <c r="A35" s="5" t="inlineStr">
        <is>
          <t>Hardware gross margin</t>
        </is>
      </c>
      <c r="B35" s="15" t="n">
        <v>0.48</v>
      </c>
      <c r="C35" s="15" t="n">
        <v>0.49</v>
      </c>
      <c r="D35" s="15" t="n">
        <v>0.5</v>
      </c>
      <c r="E35" s="15" t="n">
        <v>0.5</v>
      </c>
      <c r="F35" s="15" t="n">
        <v>0.5</v>
      </c>
      <c r="G35" s="15" t="n">
        <v>0.5</v>
      </c>
      <c r="H35" s="15" t="n">
        <v>0.5</v>
      </c>
      <c r="I35" s="15" t="n">
        <v>0.5</v>
      </c>
      <c r="J35" s="15" t="n">
        <v>0.5</v>
      </c>
    </row>
    <row r="36">
      <c r="A36" s="5" t="inlineStr">
        <is>
          <t>Software revenue ($bn)</t>
        </is>
      </c>
      <c r="B36" s="16" t="n">
        <v>0.004</v>
      </c>
      <c r="C36" s="16" t="n">
        <v>0.012</v>
      </c>
      <c r="D36" s="16" t="n">
        <v>0.025</v>
      </c>
      <c r="E36" s="16" t="n">
        <v>0.045</v>
      </c>
      <c r="F36" s="16" t="n">
        <v>0.07000000000000001</v>
      </c>
      <c r="G36" s="16" t="n">
        <v>0.095</v>
      </c>
      <c r="H36" s="16" t="n">
        <v>0.12</v>
      </c>
      <c r="I36" s="16" t="n">
        <v>0.145</v>
      </c>
      <c r="J36" s="16" t="n">
        <v>0.17</v>
      </c>
    </row>
    <row r="37">
      <c r="A37" s="5" t="inlineStr">
        <is>
          <t>Software gross margin</t>
        </is>
      </c>
      <c r="B37" s="15" t="n">
        <v>0.75</v>
      </c>
      <c r="C37" s="15" t="n">
        <v>0.75</v>
      </c>
      <c r="D37" s="15" t="n">
        <v>0.75</v>
      </c>
      <c r="E37" s="15" t="n">
        <v>0.75</v>
      </c>
      <c r="F37" s="15" t="n">
        <v>0.75</v>
      </c>
      <c r="G37" s="15" t="n">
        <v>0.75</v>
      </c>
      <c r="H37" s="15" t="n">
        <v>0.75</v>
      </c>
      <c r="I37" s="15" t="n">
        <v>0.75</v>
      </c>
      <c r="J37" s="15" t="n">
        <v>0.75</v>
      </c>
    </row>
    <row r="38">
      <c r="A38" s="5" t="inlineStr">
        <is>
          <t>Operating expenses incl. stock comp ($bn)</t>
        </is>
      </c>
      <c r="B38" s="16" t="n">
        <v>0.055</v>
      </c>
      <c r="C38" s="16" t="n">
        <v>0.08500000000000001</v>
      </c>
      <c r="D38" s="16" t="n">
        <v>0.12</v>
      </c>
      <c r="E38" s="16" t="n">
        <v>0.16</v>
      </c>
      <c r="F38" s="16" t="n">
        <v>0.2</v>
      </c>
      <c r="G38" s="16" t="n">
        <v>0.25</v>
      </c>
      <c r="H38" s="16" t="n">
        <v>0.3</v>
      </c>
      <c r="I38" s="16" t="n">
        <v>0.35</v>
      </c>
      <c r="J38" s="16" t="n">
        <v>0.4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30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8" customWidth="1" min="1" max="1"/>
    <col width="2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</cols>
  <sheetData>
    <row r="1">
      <c r="A1" s="1" t="inlineStr">
        <is>
          <t>Model: revenue build to unlevered free cash flow and DCF ($bn unless noted; all drivers are author estimates)</t>
        </is>
      </c>
    </row>
    <row r="2">
      <c r="A2" s="2" t="inlineStr">
        <is>
          <t>Stock-based compensation sits in operating expenses. Future dilution is applied at the end of each block.</t>
        </is>
      </c>
    </row>
    <row r="4">
      <c r="A4" s="9" t="inlineStr">
        <is>
          <t>Bear case</t>
        </is>
      </c>
    </row>
    <row r="5">
      <c r="A5" s="3" t="inlineStr">
        <is>
          <t>Line item</t>
        </is>
      </c>
      <c r="B5" s="4" t="inlineStr"/>
      <c r="C5" s="4" t="inlineStr">
        <is>
          <t>2027</t>
        </is>
      </c>
      <c r="D5" s="4" t="inlineStr">
        <is>
          <t>2028</t>
        </is>
      </c>
      <c r="E5" s="4" t="inlineStr">
        <is>
          <t>2029</t>
        </is>
      </c>
      <c r="F5" s="4" t="inlineStr">
        <is>
          <t>2030</t>
        </is>
      </c>
      <c r="G5" s="4" t="inlineStr">
        <is>
          <t>2031</t>
        </is>
      </c>
      <c r="H5" s="4" t="inlineStr">
        <is>
          <t>2032</t>
        </is>
      </c>
      <c r="I5" s="4" t="inlineStr">
        <is>
          <t>2033</t>
        </is>
      </c>
      <c r="J5" s="4" t="inlineStr">
        <is>
          <t>2034</t>
        </is>
      </c>
      <c r="K5" s="4" t="inlineStr">
        <is>
          <t>2035</t>
        </is>
      </c>
    </row>
    <row r="6">
      <c r="A6" s="5" t="inlineStr">
        <is>
          <t>Units shipped (thousands)</t>
        </is>
      </c>
      <c r="C6" s="31">
        <f>Scenarios!B11*Inputs!$C$35</f>
        <v/>
      </c>
      <c r="D6" s="31">
        <f>Scenarios!C11*Inputs!$C$35</f>
        <v/>
      </c>
      <c r="E6" s="31">
        <f>Scenarios!D11*Inputs!$C$35</f>
        <v/>
      </c>
      <c r="F6" s="31">
        <f>Scenarios!E11*Inputs!$C$35</f>
        <v/>
      </c>
      <c r="G6" s="31">
        <f>Scenarios!F11*Inputs!$C$35</f>
        <v/>
      </c>
      <c r="H6" s="31">
        <f>Scenarios!G11*Inputs!$C$35</f>
        <v/>
      </c>
      <c r="I6" s="31">
        <f>Scenarios!H11*Inputs!$C$35</f>
        <v/>
      </c>
      <c r="J6" s="31">
        <f>Scenarios!I11*Inputs!$C$35</f>
        <v/>
      </c>
      <c r="K6" s="31">
        <f>Scenarios!J11*Inputs!$C$35</f>
        <v/>
      </c>
    </row>
    <row r="7">
      <c r="A7" s="5" t="inlineStr">
        <is>
          <t>Net revenue per pair ($)</t>
        </is>
      </c>
      <c r="C7" s="32">
        <f>Scenarios!B12</f>
        <v/>
      </c>
      <c r="D7" s="32">
        <f>Scenarios!C12</f>
        <v/>
      </c>
      <c r="E7" s="32">
        <f>Scenarios!D12</f>
        <v/>
      </c>
      <c r="F7" s="32">
        <f>Scenarios!E12</f>
        <v/>
      </c>
      <c r="G7" s="32">
        <f>Scenarios!F12</f>
        <v/>
      </c>
      <c r="H7" s="32">
        <f>Scenarios!G12</f>
        <v/>
      </c>
      <c r="I7" s="32">
        <f>Scenarios!H12</f>
        <v/>
      </c>
      <c r="J7" s="32">
        <f>Scenarios!I12</f>
        <v/>
      </c>
      <c r="K7" s="32">
        <f>Scenarios!J12</f>
        <v/>
      </c>
    </row>
    <row r="8">
      <c r="A8" s="5" t="inlineStr">
        <is>
          <t>Hardware revenue</t>
        </is>
      </c>
      <c r="C8" s="12">
        <f>C6*C7/1000000</f>
        <v/>
      </c>
      <c r="D8" s="12">
        <f>D6*D7/1000000</f>
        <v/>
      </c>
      <c r="E8" s="12">
        <f>E6*E7/1000000</f>
        <v/>
      </c>
      <c r="F8" s="12">
        <f>F6*F7/1000000</f>
        <v/>
      </c>
      <c r="G8" s="12">
        <f>G6*G7/1000000</f>
        <v/>
      </c>
      <c r="H8" s="12">
        <f>H6*H7/1000000</f>
        <v/>
      </c>
      <c r="I8" s="12">
        <f>I6*I7/1000000</f>
        <v/>
      </c>
      <c r="J8" s="12">
        <f>J6*J7/1000000</f>
        <v/>
      </c>
      <c r="K8" s="12">
        <f>K6*K7/1000000</f>
        <v/>
      </c>
    </row>
    <row r="9">
      <c r="A9" s="5" t="inlineStr">
        <is>
          <t>Software revenue</t>
        </is>
      </c>
      <c r="C9" s="7">
        <f>Scenarios!B14</f>
        <v/>
      </c>
      <c r="D9" s="7">
        <f>Scenarios!C14</f>
        <v/>
      </c>
      <c r="E9" s="7">
        <f>Scenarios!D14</f>
        <v/>
      </c>
      <c r="F9" s="7">
        <f>Scenarios!E14</f>
        <v/>
      </c>
      <c r="G9" s="7">
        <f>Scenarios!F14</f>
        <v/>
      </c>
      <c r="H9" s="7">
        <f>Scenarios!G14</f>
        <v/>
      </c>
      <c r="I9" s="7">
        <f>Scenarios!H14</f>
        <v/>
      </c>
      <c r="J9" s="7">
        <f>Scenarios!I14</f>
        <v/>
      </c>
      <c r="K9" s="7">
        <f>Scenarios!J14</f>
        <v/>
      </c>
    </row>
    <row r="10">
      <c r="A10" s="9" t="inlineStr">
        <is>
          <t>Total revenue</t>
        </is>
      </c>
      <c r="C10" s="12">
        <f>C8+C9</f>
        <v/>
      </c>
      <c r="D10" s="12">
        <f>D8+D9</f>
        <v/>
      </c>
      <c r="E10" s="12">
        <f>E8+E9</f>
        <v/>
      </c>
      <c r="F10" s="12">
        <f>F8+F9</f>
        <v/>
      </c>
      <c r="G10" s="12">
        <f>G8+G9</f>
        <v/>
      </c>
      <c r="H10" s="12">
        <f>H8+H9</f>
        <v/>
      </c>
      <c r="I10" s="12">
        <f>I8+I9</f>
        <v/>
      </c>
      <c r="J10" s="12">
        <f>J8+J9</f>
        <v/>
      </c>
      <c r="K10" s="12">
        <f>K8+K9</f>
        <v/>
      </c>
    </row>
    <row r="11">
      <c r="A11" s="5" t="inlineStr">
        <is>
          <t>Hardware gross margin</t>
        </is>
      </c>
      <c r="C11" s="6">
        <f>Scenarios!B13+Inputs!$C$36</f>
        <v/>
      </c>
      <c r="D11" s="6">
        <f>Scenarios!C13+Inputs!$C$36</f>
        <v/>
      </c>
      <c r="E11" s="6">
        <f>Scenarios!D13+Inputs!$C$36</f>
        <v/>
      </c>
      <c r="F11" s="6">
        <f>Scenarios!E13+Inputs!$C$36</f>
        <v/>
      </c>
      <c r="G11" s="6">
        <f>Scenarios!F13+Inputs!$C$36</f>
        <v/>
      </c>
      <c r="H11" s="6">
        <f>Scenarios!G13+Inputs!$C$36</f>
        <v/>
      </c>
      <c r="I11" s="6">
        <f>Scenarios!H13+Inputs!$C$36</f>
        <v/>
      </c>
      <c r="J11" s="6">
        <f>Scenarios!I13+Inputs!$C$36</f>
        <v/>
      </c>
      <c r="K11" s="6">
        <f>Scenarios!J13+Inputs!$C$36</f>
        <v/>
      </c>
    </row>
    <row r="12">
      <c r="A12" s="5" t="inlineStr">
        <is>
          <t>Hardware gross profit</t>
        </is>
      </c>
      <c r="C12" s="12">
        <f>C8*C11</f>
        <v/>
      </c>
      <c r="D12" s="12">
        <f>D8*D11</f>
        <v/>
      </c>
      <c r="E12" s="12">
        <f>E8*E11</f>
        <v/>
      </c>
      <c r="F12" s="12">
        <f>F8*F11</f>
        <v/>
      </c>
      <c r="G12" s="12">
        <f>G8*G11</f>
        <v/>
      </c>
      <c r="H12" s="12">
        <f>H8*H11</f>
        <v/>
      </c>
      <c r="I12" s="12">
        <f>I8*I11</f>
        <v/>
      </c>
      <c r="J12" s="12">
        <f>J8*J11</f>
        <v/>
      </c>
      <c r="K12" s="12">
        <f>K8*K11</f>
        <v/>
      </c>
    </row>
    <row r="13">
      <c r="A13" s="5" t="inlineStr">
        <is>
          <t>Software gross margin</t>
        </is>
      </c>
      <c r="C13" s="6">
        <f>Scenarios!B15</f>
        <v/>
      </c>
      <c r="D13" s="6">
        <f>Scenarios!C15</f>
        <v/>
      </c>
      <c r="E13" s="6">
        <f>Scenarios!D15</f>
        <v/>
      </c>
      <c r="F13" s="6">
        <f>Scenarios!E15</f>
        <v/>
      </c>
      <c r="G13" s="6">
        <f>Scenarios!F15</f>
        <v/>
      </c>
      <c r="H13" s="6">
        <f>Scenarios!G15</f>
        <v/>
      </c>
      <c r="I13" s="6">
        <f>Scenarios!H15</f>
        <v/>
      </c>
      <c r="J13" s="6">
        <f>Scenarios!I15</f>
        <v/>
      </c>
      <c r="K13" s="6">
        <f>Scenarios!J15</f>
        <v/>
      </c>
    </row>
    <row r="14">
      <c r="A14" s="5" t="inlineStr">
        <is>
          <t>Software gross profit</t>
        </is>
      </c>
      <c r="C14" s="12">
        <f>C9*C13</f>
        <v/>
      </c>
      <c r="D14" s="12">
        <f>D9*D13</f>
        <v/>
      </c>
      <c r="E14" s="12">
        <f>E9*E13</f>
        <v/>
      </c>
      <c r="F14" s="12">
        <f>F9*F13</f>
        <v/>
      </c>
      <c r="G14" s="12">
        <f>G9*G13</f>
        <v/>
      </c>
      <c r="H14" s="12">
        <f>H9*H13</f>
        <v/>
      </c>
      <c r="I14" s="12">
        <f>I9*I13</f>
        <v/>
      </c>
      <c r="J14" s="12">
        <f>J9*J13</f>
        <v/>
      </c>
      <c r="K14" s="12">
        <f>K9*K13</f>
        <v/>
      </c>
    </row>
    <row r="15">
      <c r="A15" s="9" t="inlineStr">
        <is>
          <t>Gross profit</t>
        </is>
      </c>
      <c r="C15" s="12">
        <f>C12+C14</f>
        <v/>
      </c>
      <c r="D15" s="12">
        <f>D12+D14</f>
        <v/>
      </c>
      <c r="E15" s="12">
        <f>E12+E14</f>
        <v/>
      </c>
      <c r="F15" s="12">
        <f>F12+F14</f>
        <v/>
      </c>
      <c r="G15" s="12">
        <f>G12+G14</f>
        <v/>
      </c>
      <c r="H15" s="12">
        <f>H12+H14</f>
        <v/>
      </c>
      <c r="I15" s="12">
        <f>I12+I14</f>
        <v/>
      </c>
      <c r="J15" s="12">
        <f>J12+J14</f>
        <v/>
      </c>
      <c r="K15" s="12">
        <f>K12+K14</f>
        <v/>
      </c>
    </row>
    <row r="16">
      <c r="A16" s="5" t="inlineStr">
        <is>
          <t>Gross margin</t>
        </is>
      </c>
      <c r="C16" s="8">
        <f>IF(C10=0,0,C15/C10)</f>
        <v/>
      </c>
      <c r="D16" s="8">
        <f>IF(D10=0,0,D15/D10)</f>
        <v/>
      </c>
      <c r="E16" s="8">
        <f>IF(E10=0,0,E15/E10)</f>
        <v/>
      </c>
      <c r="F16" s="8">
        <f>IF(F10=0,0,F15/F10)</f>
        <v/>
      </c>
      <c r="G16" s="8">
        <f>IF(G10=0,0,G15/G10)</f>
        <v/>
      </c>
      <c r="H16" s="8">
        <f>IF(H10=0,0,H15/H10)</f>
        <v/>
      </c>
      <c r="I16" s="8">
        <f>IF(I10=0,0,I15/I10)</f>
        <v/>
      </c>
      <c r="J16" s="8">
        <f>IF(J10=0,0,J15/J10)</f>
        <v/>
      </c>
      <c r="K16" s="8">
        <f>IF(K10=0,0,K15/K10)</f>
        <v/>
      </c>
    </row>
    <row r="17">
      <c r="A17" s="5" t="inlineStr">
        <is>
          <t>Operating expenses incl. stock comp</t>
        </is>
      </c>
      <c r="C17" s="7">
        <f>Scenarios!B16</f>
        <v/>
      </c>
      <c r="D17" s="7">
        <f>Scenarios!C16</f>
        <v/>
      </c>
      <c r="E17" s="7">
        <f>Scenarios!D16</f>
        <v/>
      </c>
      <c r="F17" s="7">
        <f>Scenarios!E16</f>
        <v/>
      </c>
      <c r="G17" s="7">
        <f>Scenarios!F16</f>
        <v/>
      </c>
      <c r="H17" s="7">
        <f>Scenarios!G16</f>
        <v/>
      </c>
      <c r="I17" s="7">
        <f>Scenarios!H16</f>
        <v/>
      </c>
      <c r="J17" s="7">
        <f>Scenarios!I16</f>
        <v/>
      </c>
      <c r="K17" s="7">
        <f>Scenarios!J16</f>
        <v/>
      </c>
    </row>
    <row r="18">
      <c r="A18" s="9" t="inlineStr">
        <is>
          <t>EBIT</t>
        </is>
      </c>
      <c r="C18" s="12">
        <f>C15-C17</f>
        <v/>
      </c>
      <c r="D18" s="12">
        <f>D15-D17</f>
        <v/>
      </c>
      <c r="E18" s="12">
        <f>E15-E17</f>
        <v/>
      </c>
      <c r="F18" s="12">
        <f>F15-F17</f>
        <v/>
      </c>
      <c r="G18" s="12">
        <f>G15-G17</f>
        <v/>
      </c>
      <c r="H18" s="12">
        <f>H15-H17</f>
        <v/>
      </c>
      <c r="I18" s="12">
        <f>I15-I17</f>
        <v/>
      </c>
      <c r="J18" s="12">
        <f>J15-J17</f>
        <v/>
      </c>
      <c r="K18" s="12">
        <f>K15-K17</f>
        <v/>
      </c>
    </row>
    <row r="19">
      <c r="A19" s="5" t="inlineStr">
        <is>
          <t>EBIT margin</t>
        </is>
      </c>
      <c r="C19" s="8">
        <f>IF(C10=0,0,C18/C10)</f>
        <v/>
      </c>
      <c r="D19" s="8">
        <f>IF(D10=0,0,D18/D10)</f>
        <v/>
      </c>
      <c r="E19" s="8">
        <f>IF(E10=0,0,E18/E10)</f>
        <v/>
      </c>
      <c r="F19" s="8">
        <f>IF(F10=0,0,F18/F10)</f>
        <v/>
      </c>
      <c r="G19" s="8">
        <f>IF(G10=0,0,G18/G10)</f>
        <v/>
      </c>
      <c r="H19" s="8">
        <f>IF(H10=0,0,H18/H10)</f>
        <v/>
      </c>
      <c r="I19" s="8">
        <f>IF(I10=0,0,I18/I10)</f>
        <v/>
      </c>
      <c r="J19" s="8">
        <f>IF(J10=0,0,J18/J10)</f>
        <v/>
      </c>
      <c r="K19" s="8">
        <f>IF(K10=0,0,K18/K10)</f>
        <v/>
      </c>
    </row>
    <row r="20">
      <c r="A20" s="5" t="inlineStr">
        <is>
          <t>Depreciation &amp; amortization</t>
        </is>
      </c>
      <c r="C20" s="12">
        <f>C10*Inputs!$C$24</f>
        <v/>
      </c>
      <c r="D20" s="12">
        <f>D10*Inputs!$C$24</f>
        <v/>
      </c>
      <c r="E20" s="12">
        <f>E10*Inputs!$C$24</f>
        <v/>
      </c>
      <c r="F20" s="12">
        <f>F10*Inputs!$C$24</f>
        <v/>
      </c>
      <c r="G20" s="12">
        <f>G10*Inputs!$C$24</f>
        <v/>
      </c>
      <c r="H20" s="12">
        <f>H10*Inputs!$C$24</f>
        <v/>
      </c>
      <c r="I20" s="12">
        <f>I10*Inputs!$C$24</f>
        <v/>
      </c>
      <c r="J20" s="12">
        <f>J10*Inputs!$C$24</f>
        <v/>
      </c>
      <c r="K20" s="12">
        <f>K10*Inputs!$C$24</f>
        <v/>
      </c>
    </row>
    <row r="21">
      <c r="A21" s="9" t="inlineStr">
        <is>
          <t>EBITDA</t>
        </is>
      </c>
      <c r="C21" s="12">
        <f>C18+C20</f>
        <v/>
      </c>
      <c r="D21" s="12">
        <f>D18+D20</f>
        <v/>
      </c>
      <c r="E21" s="12">
        <f>E18+E20</f>
        <v/>
      </c>
      <c r="F21" s="12">
        <f>F18+F20</f>
        <v/>
      </c>
      <c r="G21" s="12">
        <f>G18+G20</f>
        <v/>
      </c>
      <c r="H21" s="12">
        <f>H18+H20</f>
        <v/>
      </c>
      <c r="I21" s="12">
        <f>I18+I20</f>
        <v/>
      </c>
      <c r="J21" s="12">
        <f>J18+J20</f>
        <v/>
      </c>
      <c r="K21" s="12">
        <f>K18+K20</f>
        <v/>
      </c>
    </row>
    <row r="22">
      <c r="A22" s="5" t="inlineStr">
        <is>
          <t>Capital expenditures</t>
        </is>
      </c>
      <c r="C22" s="12">
        <f>C10*Scenarios!B5</f>
        <v/>
      </c>
      <c r="D22" s="12">
        <f>D10*Scenarios!C5</f>
        <v/>
      </c>
      <c r="E22" s="12">
        <f>E10*Scenarios!D5</f>
        <v/>
      </c>
      <c r="F22" s="12">
        <f>F10*Scenarios!E5</f>
        <v/>
      </c>
      <c r="G22" s="12">
        <f>G10*Scenarios!F5</f>
        <v/>
      </c>
      <c r="H22" s="12">
        <f>H10*Scenarios!G5</f>
        <v/>
      </c>
      <c r="I22" s="12">
        <f>I10*Scenarios!H5</f>
        <v/>
      </c>
      <c r="J22" s="12">
        <f>J10*Scenarios!I5</f>
        <v/>
      </c>
      <c r="K22" s="12">
        <f>K10*Scenarios!J5</f>
        <v/>
      </c>
    </row>
    <row r="23">
      <c r="A23" s="5" t="inlineStr">
        <is>
          <t>Cash tax on positive EBIT</t>
        </is>
      </c>
      <c r="C23" s="12">
        <f>MAX(0,C18)*Inputs!$C$23</f>
        <v/>
      </c>
      <c r="D23" s="12">
        <f>MAX(0,D18)*Inputs!$C$23</f>
        <v/>
      </c>
      <c r="E23" s="12">
        <f>MAX(0,E18)*Inputs!$C$23</f>
        <v/>
      </c>
      <c r="F23" s="12">
        <f>MAX(0,F18)*Inputs!$C$23</f>
        <v/>
      </c>
      <c r="G23" s="12">
        <f>MAX(0,G18)*Inputs!$C$23</f>
        <v/>
      </c>
      <c r="H23" s="12">
        <f>MAX(0,H18)*Inputs!$C$23</f>
        <v/>
      </c>
      <c r="I23" s="12">
        <f>MAX(0,I18)*Inputs!$C$23</f>
        <v/>
      </c>
      <c r="J23" s="12">
        <f>MAX(0,J18)*Inputs!$C$23</f>
        <v/>
      </c>
      <c r="K23" s="12">
        <f>MAX(0,K18)*Inputs!$C$23</f>
        <v/>
      </c>
    </row>
    <row r="24">
      <c r="A24" s="5" t="inlineStr">
        <is>
          <t>Change in net working capital</t>
        </is>
      </c>
      <c r="C24" s="12">
        <f>Inputs!$C$22*(C10-Inputs!$C$9)</f>
        <v/>
      </c>
      <c r="D24" s="12">
        <f>Inputs!$C$22*(D10-C10)</f>
        <v/>
      </c>
      <c r="E24" s="12">
        <f>Inputs!$C$22*(E10-D10)</f>
        <v/>
      </c>
      <c r="F24" s="12">
        <f>Inputs!$C$22*(F10-E10)</f>
        <v/>
      </c>
      <c r="G24" s="12">
        <f>Inputs!$C$22*(G10-F10)</f>
        <v/>
      </c>
      <c r="H24" s="12">
        <f>Inputs!$C$22*(H10-G10)</f>
        <v/>
      </c>
      <c r="I24" s="12">
        <f>Inputs!$C$22*(I10-H10)</f>
        <v/>
      </c>
      <c r="J24" s="12">
        <f>Inputs!$C$22*(J10-I10)</f>
        <v/>
      </c>
      <c r="K24" s="12">
        <f>Inputs!$C$22*(K10-J10)</f>
        <v/>
      </c>
    </row>
    <row r="25">
      <c r="A25" s="9" t="inlineStr">
        <is>
          <t>Unlevered free cash flow</t>
        </is>
      </c>
      <c r="C25" s="12">
        <f>C18-C23+C20-C22-C24</f>
        <v/>
      </c>
      <c r="D25" s="12">
        <f>D18-D23+D20-D22-D24</f>
        <v/>
      </c>
      <c r="E25" s="12">
        <f>E18-E23+E20-E22-E24</f>
        <v/>
      </c>
      <c r="F25" s="12">
        <f>F18-F23+F20-F22-F24</f>
        <v/>
      </c>
      <c r="G25" s="12">
        <f>G18-G23+G20-G22-G24</f>
        <v/>
      </c>
      <c r="H25" s="12">
        <f>H18-H23+H20-H22-H24</f>
        <v/>
      </c>
      <c r="I25" s="12">
        <f>I18-I23+I20-I22-I24</f>
        <v/>
      </c>
      <c r="J25" s="12">
        <f>J18-J23+J20-J22-J24</f>
        <v/>
      </c>
      <c r="K25" s="12">
        <f>K18-K23+K20-K22-K24</f>
        <v/>
      </c>
    </row>
    <row r="26">
      <c r="A26" s="5" t="inlineStr">
        <is>
          <t>Share of display-glasses segment</t>
        </is>
      </c>
      <c r="C26" s="8">
        <f>C6/1000/Scenarios!B6</f>
        <v/>
      </c>
      <c r="D26" s="8">
        <f>D6/1000/Scenarios!C6</f>
        <v/>
      </c>
      <c r="E26" s="8">
        <f>E6/1000/Scenarios!D6</f>
        <v/>
      </c>
      <c r="F26" s="8">
        <f>F6/1000/Scenarios!E6</f>
        <v/>
      </c>
      <c r="G26" s="8">
        <f>G6/1000/Scenarios!F6</f>
        <v/>
      </c>
      <c r="H26" s="8">
        <f>H6/1000/Scenarios!G6</f>
        <v/>
      </c>
      <c r="I26" s="8">
        <f>I6/1000/Scenarios!H6</f>
        <v/>
      </c>
      <c r="J26" s="8">
        <f>J6/1000/Scenarios!I6</f>
        <v/>
      </c>
      <c r="K26" s="8">
        <f>K6/1000/Scenarios!J6</f>
        <v/>
      </c>
    </row>
    <row r="27">
      <c r="A27" s="5" t="inlineStr">
        <is>
          <t>Discount period (years)</t>
        </is>
      </c>
      <c r="C27" s="33">
        <f>2027+0.5-Inputs!$C$8</f>
        <v/>
      </c>
      <c r="D27" s="33">
        <f>2028+0.5-Inputs!$C$8</f>
        <v/>
      </c>
      <c r="E27" s="33">
        <f>2029+0.5-Inputs!$C$8</f>
        <v/>
      </c>
      <c r="F27" s="33">
        <f>2030+0.5-Inputs!$C$8</f>
        <v/>
      </c>
      <c r="G27" s="33">
        <f>2031+0.5-Inputs!$C$8</f>
        <v/>
      </c>
      <c r="H27" s="33">
        <f>2032+0.5-Inputs!$C$8</f>
        <v/>
      </c>
      <c r="I27" s="33">
        <f>2033+0.5-Inputs!$C$8</f>
        <v/>
      </c>
      <c r="J27" s="33">
        <f>2034+0.5-Inputs!$C$8</f>
        <v/>
      </c>
      <c r="K27" s="33">
        <f>2035+0.5-Inputs!$C$8</f>
        <v/>
      </c>
    </row>
    <row r="28">
      <c r="A28" s="5" t="inlineStr">
        <is>
          <t>Discount factor</t>
        </is>
      </c>
      <c r="C28" s="34">
        <f>1/(1+Inputs!$C$16)^C27</f>
        <v/>
      </c>
      <c r="D28" s="34">
        <f>1/(1+Inputs!$C$16)^D27</f>
        <v/>
      </c>
      <c r="E28" s="34">
        <f>1/(1+Inputs!$C$16)^E27</f>
        <v/>
      </c>
      <c r="F28" s="34">
        <f>1/(1+Inputs!$C$16)^F27</f>
        <v/>
      </c>
      <c r="G28" s="34">
        <f>1/(1+Inputs!$C$16)^G27</f>
        <v/>
      </c>
      <c r="H28" s="34">
        <f>1/(1+Inputs!$C$16)^H27</f>
        <v/>
      </c>
      <c r="I28" s="34">
        <f>1/(1+Inputs!$C$16)^I27</f>
        <v/>
      </c>
      <c r="J28" s="34">
        <f>1/(1+Inputs!$C$16)^J27</f>
        <v/>
      </c>
      <c r="K28" s="34">
        <f>1/(1+Inputs!$C$16)^K27</f>
        <v/>
      </c>
    </row>
    <row r="29">
      <c r="A29" s="9" t="inlineStr">
        <is>
          <t>PV of unlevered FCF</t>
        </is>
      </c>
      <c r="C29" s="12">
        <f>C25*C28</f>
        <v/>
      </c>
      <c r="D29" s="12">
        <f>D25*D28</f>
        <v/>
      </c>
      <c r="E29" s="12">
        <f>E25*E28</f>
        <v/>
      </c>
      <c r="F29" s="12">
        <f>F25*F28</f>
        <v/>
      </c>
      <c r="G29" s="12">
        <f>G25*G28</f>
        <v/>
      </c>
      <c r="H29" s="12">
        <f>H25*H28</f>
        <v/>
      </c>
      <c r="I29" s="12">
        <f>I25*I28</f>
        <v/>
      </c>
      <c r="J29" s="12">
        <f>J25*J28</f>
        <v/>
      </c>
      <c r="K29" s="12">
        <f>K25*K28</f>
        <v/>
      </c>
    </row>
    <row r="31">
      <c r="A31" s="5" t="inlineStr">
        <is>
          <t>Normalized terminal FCF (2035)</t>
        </is>
      </c>
      <c r="C31" s="35">
        <f>K18*(1-Inputs!$C$20)+K20*(1-Inputs!$C$21)-Inputs!$C$22*K10*Inputs!$C$19</f>
        <v/>
      </c>
    </row>
    <row r="32">
      <c r="A32" s="5" t="inlineStr">
        <is>
          <t>Terminal value, exit multiple</t>
        </is>
      </c>
      <c r="C32" s="35">
        <f>K21*Inputs!$C$18</f>
        <v/>
      </c>
    </row>
    <row r="33">
      <c r="A33" s="5" t="inlineStr">
        <is>
          <t>Terminal value, perpetual growth (cross-check)</t>
        </is>
      </c>
      <c r="C33" s="35">
        <f>$C$31*(1+Inputs!$C$19)/(Inputs!$C$16-Inputs!$C$19)</f>
        <v/>
      </c>
    </row>
    <row r="34">
      <c r="A34" s="5" t="inlineStr">
        <is>
          <t>PV of 2027-2035 FCF + Q4 2026 stub</t>
        </is>
      </c>
      <c r="C34" s="35">
        <f>SUM(C29:K29)+Inputs!$C$7</f>
        <v/>
      </c>
    </row>
    <row r="35">
      <c r="A35" s="5" t="inlineStr">
        <is>
          <t>PV of terminal value (exit multiple, end-2035 value)</t>
        </is>
      </c>
      <c r="C35" s="35">
        <f>$C$32/(1+Inputs!$C$16)^(K27+0.5)</f>
        <v/>
      </c>
    </row>
    <row r="36">
      <c r="A36" s="36" t="inlineStr">
        <is>
          <t>Enterprise value</t>
        </is>
      </c>
      <c r="C36" s="37">
        <f>$C$34+$C$35</f>
        <v/>
      </c>
    </row>
    <row r="37">
      <c r="A37" s="5" t="inlineStr">
        <is>
          <t>Equity value</t>
        </is>
      </c>
      <c r="C37" s="35">
        <f>$C$36+Inputs!$C$6</f>
        <v/>
      </c>
    </row>
    <row r="38">
      <c r="A38" s="5" t="inlineStr">
        <is>
          <t>DCF equity value ($bn)</t>
        </is>
      </c>
      <c r="C38" s="12">
        <f>MAX(0,$C$37*1000/Inputs!$C$5)</f>
        <v/>
      </c>
    </row>
    <row r="39">
      <c r="A39" s="5" t="inlineStr">
        <is>
          <t>Floor equity value ($bn)</t>
        </is>
      </c>
      <c r="C39" s="12">
        <f>(Inputs!$C$29*C10+Inputs!$C$6)*1000/Inputs!$C$5</f>
        <v/>
      </c>
    </row>
    <row r="40">
      <c r="A40" s="5" t="inlineStr">
        <is>
          <t>Equity value before dilution ($bn)</t>
        </is>
      </c>
      <c r="C40" s="12">
        <f>MAX($C$38,$C$39)</f>
        <v/>
      </c>
    </row>
    <row r="41">
      <c r="A41" s="5" t="inlineStr">
        <is>
          <t>Cross-check: equity value at perpetual growth, before dilution ($bn)</t>
        </is>
      </c>
      <c r="C41" s="12">
        <f>MAX(0,($C$34+$C$33*K28+Inputs!$C$6)*1000/Inputs!$C$5)</f>
        <v/>
      </c>
    </row>
    <row r="42">
      <c r="A42" s="5" t="inlineStr">
        <is>
          <t>Perpetual growth implied by the exit multiple</t>
        </is>
      </c>
      <c r="C42" s="8">
        <f>($C$32*Inputs!$C$16-$C$31)/($C$32+$C$31)</f>
        <v/>
      </c>
    </row>
    <row r="43">
      <c r="A43" s="5" t="inlineStr">
        <is>
          <t>Expected future dilution</t>
        </is>
      </c>
      <c r="C43" s="8">
        <f>Inputs!$C$31</f>
        <v/>
      </c>
    </row>
    <row r="44">
      <c r="A44" s="36" t="inlineStr">
        <is>
          <t>Equity value to today's holders ($bn)</t>
        </is>
      </c>
      <c r="C44" s="38">
        <f>$C$40*(1-$C$43)</f>
        <v/>
      </c>
    </row>
    <row r="47">
      <c r="A47" s="9" t="inlineStr">
        <is>
          <t>Base case</t>
        </is>
      </c>
    </row>
    <row r="48">
      <c r="A48" s="3" t="inlineStr">
        <is>
          <t>Line item</t>
        </is>
      </c>
      <c r="B48" s="4" t="inlineStr"/>
      <c r="C48" s="4" t="inlineStr">
        <is>
          <t>2027</t>
        </is>
      </c>
      <c r="D48" s="4" t="inlineStr">
        <is>
          <t>2028</t>
        </is>
      </c>
      <c r="E48" s="4" t="inlineStr">
        <is>
          <t>2029</t>
        </is>
      </c>
      <c r="F48" s="4" t="inlineStr">
        <is>
          <t>2030</t>
        </is>
      </c>
      <c r="G48" s="4" t="inlineStr">
        <is>
          <t>2031</t>
        </is>
      </c>
      <c r="H48" s="4" t="inlineStr">
        <is>
          <t>2032</t>
        </is>
      </c>
      <c r="I48" s="4" t="inlineStr">
        <is>
          <t>2033</t>
        </is>
      </c>
      <c r="J48" s="4" t="inlineStr">
        <is>
          <t>2034</t>
        </is>
      </c>
      <c r="K48" s="4" t="inlineStr">
        <is>
          <t>2035</t>
        </is>
      </c>
    </row>
    <row r="49">
      <c r="A49" s="5" t="inlineStr">
        <is>
          <t>Units shipped (thousands)</t>
        </is>
      </c>
      <c r="C49" s="31">
        <f>Scenarios!B22*Inputs!$C$35</f>
        <v/>
      </c>
      <c r="D49" s="31">
        <f>Scenarios!C22*Inputs!$C$35</f>
        <v/>
      </c>
      <c r="E49" s="31">
        <f>Scenarios!D22*Inputs!$C$35</f>
        <v/>
      </c>
      <c r="F49" s="31">
        <f>Scenarios!E22*Inputs!$C$35</f>
        <v/>
      </c>
      <c r="G49" s="31">
        <f>Scenarios!F22*Inputs!$C$35</f>
        <v/>
      </c>
      <c r="H49" s="31">
        <f>Scenarios!G22*Inputs!$C$35</f>
        <v/>
      </c>
      <c r="I49" s="31">
        <f>Scenarios!H22*Inputs!$C$35</f>
        <v/>
      </c>
      <c r="J49" s="31">
        <f>Scenarios!I22*Inputs!$C$35</f>
        <v/>
      </c>
      <c r="K49" s="31">
        <f>Scenarios!J22*Inputs!$C$35</f>
        <v/>
      </c>
    </row>
    <row r="50">
      <c r="A50" s="5" t="inlineStr">
        <is>
          <t>Net revenue per pair ($)</t>
        </is>
      </c>
      <c r="C50" s="32">
        <f>Scenarios!B23</f>
        <v/>
      </c>
      <c r="D50" s="32">
        <f>Scenarios!C23</f>
        <v/>
      </c>
      <c r="E50" s="32">
        <f>Scenarios!D23</f>
        <v/>
      </c>
      <c r="F50" s="32">
        <f>Scenarios!E23</f>
        <v/>
      </c>
      <c r="G50" s="32">
        <f>Scenarios!F23</f>
        <v/>
      </c>
      <c r="H50" s="32">
        <f>Scenarios!G23</f>
        <v/>
      </c>
      <c r="I50" s="32">
        <f>Scenarios!H23</f>
        <v/>
      </c>
      <c r="J50" s="32">
        <f>Scenarios!I23</f>
        <v/>
      </c>
      <c r="K50" s="32">
        <f>Scenarios!J23</f>
        <v/>
      </c>
    </row>
    <row r="51">
      <c r="A51" s="5" t="inlineStr">
        <is>
          <t>Hardware revenue</t>
        </is>
      </c>
      <c r="C51" s="12">
        <f>C49*C50/1000000</f>
        <v/>
      </c>
      <c r="D51" s="12">
        <f>D49*D50/1000000</f>
        <v/>
      </c>
      <c r="E51" s="12">
        <f>E49*E50/1000000</f>
        <v/>
      </c>
      <c r="F51" s="12">
        <f>F49*F50/1000000</f>
        <v/>
      </c>
      <c r="G51" s="12">
        <f>G49*G50/1000000</f>
        <v/>
      </c>
      <c r="H51" s="12">
        <f>H49*H50/1000000</f>
        <v/>
      </c>
      <c r="I51" s="12">
        <f>I49*I50/1000000</f>
        <v/>
      </c>
      <c r="J51" s="12">
        <f>J49*J50/1000000</f>
        <v/>
      </c>
      <c r="K51" s="12">
        <f>K49*K50/1000000</f>
        <v/>
      </c>
    </row>
    <row r="52">
      <c r="A52" s="5" t="inlineStr">
        <is>
          <t>Software revenue</t>
        </is>
      </c>
      <c r="C52" s="7">
        <f>Scenarios!B25</f>
        <v/>
      </c>
      <c r="D52" s="7">
        <f>Scenarios!C25</f>
        <v/>
      </c>
      <c r="E52" s="7">
        <f>Scenarios!D25</f>
        <v/>
      </c>
      <c r="F52" s="7">
        <f>Scenarios!E25</f>
        <v/>
      </c>
      <c r="G52" s="7">
        <f>Scenarios!F25</f>
        <v/>
      </c>
      <c r="H52" s="7">
        <f>Scenarios!G25</f>
        <v/>
      </c>
      <c r="I52" s="7">
        <f>Scenarios!H25</f>
        <v/>
      </c>
      <c r="J52" s="7">
        <f>Scenarios!I25</f>
        <v/>
      </c>
      <c r="K52" s="7">
        <f>Scenarios!J25</f>
        <v/>
      </c>
    </row>
    <row r="53">
      <c r="A53" s="9" t="inlineStr">
        <is>
          <t>Total revenue</t>
        </is>
      </c>
      <c r="C53" s="12">
        <f>C51+C52</f>
        <v/>
      </c>
      <c r="D53" s="12">
        <f>D51+D52</f>
        <v/>
      </c>
      <c r="E53" s="12">
        <f>E51+E52</f>
        <v/>
      </c>
      <c r="F53" s="12">
        <f>F51+F52</f>
        <v/>
      </c>
      <c r="G53" s="12">
        <f>G51+G52</f>
        <v/>
      </c>
      <c r="H53" s="12">
        <f>H51+H52</f>
        <v/>
      </c>
      <c r="I53" s="12">
        <f>I51+I52</f>
        <v/>
      </c>
      <c r="J53" s="12">
        <f>J51+J52</f>
        <v/>
      </c>
      <c r="K53" s="12">
        <f>K51+K52</f>
        <v/>
      </c>
    </row>
    <row r="54">
      <c r="A54" s="5" t="inlineStr">
        <is>
          <t>Hardware gross margin</t>
        </is>
      </c>
      <c r="C54" s="6">
        <f>Scenarios!B24+Inputs!$C$36</f>
        <v/>
      </c>
      <c r="D54" s="6">
        <f>Scenarios!C24+Inputs!$C$36</f>
        <v/>
      </c>
      <c r="E54" s="6">
        <f>Scenarios!D24+Inputs!$C$36</f>
        <v/>
      </c>
      <c r="F54" s="6">
        <f>Scenarios!E24+Inputs!$C$36</f>
        <v/>
      </c>
      <c r="G54" s="6">
        <f>Scenarios!F24+Inputs!$C$36</f>
        <v/>
      </c>
      <c r="H54" s="6">
        <f>Scenarios!G24+Inputs!$C$36</f>
        <v/>
      </c>
      <c r="I54" s="6">
        <f>Scenarios!H24+Inputs!$C$36</f>
        <v/>
      </c>
      <c r="J54" s="6">
        <f>Scenarios!I24+Inputs!$C$36</f>
        <v/>
      </c>
      <c r="K54" s="6">
        <f>Scenarios!J24+Inputs!$C$36</f>
        <v/>
      </c>
    </row>
    <row r="55">
      <c r="A55" s="5" t="inlineStr">
        <is>
          <t>Hardware gross profit</t>
        </is>
      </c>
      <c r="C55" s="12">
        <f>C51*C54</f>
        <v/>
      </c>
      <c r="D55" s="12">
        <f>D51*D54</f>
        <v/>
      </c>
      <c r="E55" s="12">
        <f>E51*E54</f>
        <v/>
      </c>
      <c r="F55" s="12">
        <f>F51*F54</f>
        <v/>
      </c>
      <c r="G55" s="12">
        <f>G51*G54</f>
        <v/>
      </c>
      <c r="H55" s="12">
        <f>H51*H54</f>
        <v/>
      </c>
      <c r="I55" s="12">
        <f>I51*I54</f>
        <v/>
      </c>
      <c r="J55" s="12">
        <f>J51*J54</f>
        <v/>
      </c>
      <c r="K55" s="12">
        <f>K51*K54</f>
        <v/>
      </c>
    </row>
    <row r="56">
      <c r="A56" s="5" t="inlineStr">
        <is>
          <t>Software gross margin</t>
        </is>
      </c>
      <c r="C56" s="6">
        <f>Scenarios!B26</f>
        <v/>
      </c>
      <c r="D56" s="6">
        <f>Scenarios!C26</f>
        <v/>
      </c>
      <c r="E56" s="6">
        <f>Scenarios!D26</f>
        <v/>
      </c>
      <c r="F56" s="6">
        <f>Scenarios!E26</f>
        <v/>
      </c>
      <c r="G56" s="6">
        <f>Scenarios!F26</f>
        <v/>
      </c>
      <c r="H56" s="6">
        <f>Scenarios!G26</f>
        <v/>
      </c>
      <c r="I56" s="6">
        <f>Scenarios!H26</f>
        <v/>
      </c>
      <c r="J56" s="6">
        <f>Scenarios!I26</f>
        <v/>
      </c>
      <c r="K56" s="6">
        <f>Scenarios!J26</f>
        <v/>
      </c>
    </row>
    <row r="57">
      <c r="A57" s="5" t="inlineStr">
        <is>
          <t>Software gross profit</t>
        </is>
      </c>
      <c r="C57" s="12">
        <f>C52*C56</f>
        <v/>
      </c>
      <c r="D57" s="12">
        <f>D52*D56</f>
        <v/>
      </c>
      <c r="E57" s="12">
        <f>E52*E56</f>
        <v/>
      </c>
      <c r="F57" s="12">
        <f>F52*F56</f>
        <v/>
      </c>
      <c r="G57" s="12">
        <f>G52*G56</f>
        <v/>
      </c>
      <c r="H57" s="12">
        <f>H52*H56</f>
        <v/>
      </c>
      <c r="I57" s="12">
        <f>I52*I56</f>
        <v/>
      </c>
      <c r="J57" s="12">
        <f>J52*J56</f>
        <v/>
      </c>
      <c r="K57" s="12">
        <f>K52*K56</f>
        <v/>
      </c>
    </row>
    <row r="58">
      <c r="A58" s="9" t="inlineStr">
        <is>
          <t>Gross profit</t>
        </is>
      </c>
      <c r="C58" s="12">
        <f>C55+C57</f>
        <v/>
      </c>
      <c r="D58" s="12">
        <f>D55+D57</f>
        <v/>
      </c>
      <c r="E58" s="12">
        <f>E55+E57</f>
        <v/>
      </c>
      <c r="F58" s="12">
        <f>F55+F57</f>
        <v/>
      </c>
      <c r="G58" s="12">
        <f>G55+G57</f>
        <v/>
      </c>
      <c r="H58" s="12">
        <f>H55+H57</f>
        <v/>
      </c>
      <c r="I58" s="12">
        <f>I55+I57</f>
        <v/>
      </c>
      <c r="J58" s="12">
        <f>J55+J57</f>
        <v/>
      </c>
      <c r="K58" s="12">
        <f>K55+K57</f>
        <v/>
      </c>
    </row>
    <row r="59">
      <c r="A59" s="5" t="inlineStr">
        <is>
          <t>Gross margin</t>
        </is>
      </c>
      <c r="C59" s="8">
        <f>IF(C53=0,0,C58/C53)</f>
        <v/>
      </c>
      <c r="D59" s="8">
        <f>IF(D53=0,0,D58/D53)</f>
        <v/>
      </c>
      <c r="E59" s="8">
        <f>IF(E53=0,0,E58/E53)</f>
        <v/>
      </c>
      <c r="F59" s="8">
        <f>IF(F53=0,0,F58/F53)</f>
        <v/>
      </c>
      <c r="G59" s="8">
        <f>IF(G53=0,0,G58/G53)</f>
        <v/>
      </c>
      <c r="H59" s="8">
        <f>IF(H53=0,0,H58/H53)</f>
        <v/>
      </c>
      <c r="I59" s="8">
        <f>IF(I53=0,0,I58/I53)</f>
        <v/>
      </c>
      <c r="J59" s="8">
        <f>IF(J53=0,0,J58/J53)</f>
        <v/>
      </c>
      <c r="K59" s="8">
        <f>IF(K53=0,0,K58/K53)</f>
        <v/>
      </c>
    </row>
    <row r="60">
      <c r="A60" s="5" t="inlineStr">
        <is>
          <t>Operating expenses incl. stock comp</t>
        </is>
      </c>
      <c r="C60" s="7">
        <f>Scenarios!B27</f>
        <v/>
      </c>
      <c r="D60" s="7">
        <f>Scenarios!C27</f>
        <v/>
      </c>
      <c r="E60" s="7">
        <f>Scenarios!D27</f>
        <v/>
      </c>
      <c r="F60" s="7">
        <f>Scenarios!E27</f>
        <v/>
      </c>
      <c r="G60" s="7">
        <f>Scenarios!F27</f>
        <v/>
      </c>
      <c r="H60" s="7">
        <f>Scenarios!G27</f>
        <v/>
      </c>
      <c r="I60" s="7">
        <f>Scenarios!H27</f>
        <v/>
      </c>
      <c r="J60" s="7">
        <f>Scenarios!I27</f>
        <v/>
      </c>
      <c r="K60" s="7">
        <f>Scenarios!J27</f>
        <v/>
      </c>
    </row>
    <row r="61">
      <c r="A61" s="9" t="inlineStr">
        <is>
          <t>EBIT</t>
        </is>
      </c>
      <c r="C61" s="12">
        <f>C58-C60</f>
        <v/>
      </c>
      <c r="D61" s="12">
        <f>D58-D60</f>
        <v/>
      </c>
      <c r="E61" s="12">
        <f>E58-E60</f>
        <v/>
      </c>
      <c r="F61" s="12">
        <f>F58-F60</f>
        <v/>
      </c>
      <c r="G61" s="12">
        <f>G58-G60</f>
        <v/>
      </c>
      <c r="H61" s="12">
        <f>H58-H60</f>
        <v/>
      </c>
      <c r="I61" s="12">
        <f>I58-I60</f>
        <v/>
      </c>
      <c r="J61" s="12">
        <f>J58-J60</f>
        <v/>
      </c>
      <c r="K61" s="12">
        <f>K58-K60</f>
        <v/>
      </c>
    </row>
    <row r="62">
      <c r="A62" s="5" t="inlineStr">
        <is>
          <t>EBIT margin</t>
        </is>
      </c>
      <c r="C62" s="8">
        <f>IF(C53=0,0,C61/C53)</f>
        <v/>
      </c>
      <c r="D62" s="8">
        <f>IF(D53=0,0,D61/D53)</f>
        <v/>
      </c>
      <c r="E62" s="8">
        <f>IF(E53=0,0,E61/E53)</f>
        <v/>
      </c>
      <c r="F62" s="8">
        <f>IF(F53=0,0,F61/F53)</f>
        <v/>
      </c>
      <c r="G62" s="8">
        <f>IF(G53=0,0,G61/G53)</f>
        <v/>
      </c>
      <c r="H62" s="8">
        <f>IF(H53=0,0,H61/H53)</f>
        <v/>
      </c>
      <c r="I62" s="8">
        <f>IF(I53=0,0,I61/I53)</f>
        <v/>
      </c>
      <c r="J62" s="8">
        <f>IF(J53=0,0,J61/J53)</f>
        <v/>
      </c>
      <c r="K62" s="8">
        <f>IF(K53=0,0,K61/K53)</f>
        <v/>
      </c>
    </row>
    <row r="63">
      <c r="A63" s="5" t="inlineStr">
        <is>
          <t>Depreciation &amp; amortization</t>
        </is>
      </c>
      <c r="C63" s="12">
        <f>C53*Inputs!$C$24</f>
        <v/>
      </c>
      <c r="D63" s="12">
        <f>D53*Inputs!$C$24</f>
        <v/>
      </c>
      <c r="E63" s="12">
        <f>E53*Inputs!$C$24</f>
        <v/>
      </c>
      <c r="F63" s="12">
        <f>F53*Inputs!$C$24</f>
        <v/>
      </c>
      <c r="G63" s="12">
        <f>G53*Inputs!$C$24</f>
        <v/>
      </c>
      <c r="H63" s="12">
        <f>H53*Inputs!$C$24</f>
        <v/>
      </c>
      <c r="I63" s="12">
        <f>I53*Inputs!$C$24</f>
        <v/>
      </c>
      <c r="J63" s="12">
        <f>J53*Inputs!$C$24</f>
        <v/>
      </c>
      <c r="K63" s="12">
        <f>K53*Inputs!$C$24</f>
        <v/>
      </c>
    </row>
    <row r="64">
      <c r="A64" s="9" t="inlineStr">
        <is>
          <t>EBITDA</t>
        </is>
      </c>
      <c r="C64" s="12">
        <f>C61+C63</f>
        <v/>
      </c>
      <c r="D64" s="12">
        <f>D61+D63</f>
        <v/>
      </c>
      <c r="E64" s="12">
        <f>E61+E63</f>
        <v/>
      </c>
      <c r="F64" s="12">
        <f>F61+F63</f>
        <v/>
      </c>
      <c r="G64" s="12">
        <f>G61+G63</f>
        <v/>
      </c>
      <c r="H64" s="12">
        <f>H61+H63</f>
        <v/>
      </c>
      <c r="I64" s="12">
        <f>I61+I63</f>
        <v/>
      </c>
      <c r="J64" s="12">
        <f>J61+J63</f>
        <v/>
      </c>
      <c r="K64" s="12">
        <f>K61+K63</f>
        <v/>
      </c>
    </row>
    <row r="65">
      <c r="A65" s="5" t="inlineStr">
        <is>
          <t>Capital expenditures</t>
        </is>
      </c>
      <c r="C65" s="12">
        <f>C53*Scenarios!B5</f>
        <v/>
      </c>
      <c r="D65" s="12">
        <f>D53*Scenarios!C5</f>
        <v/>
      </c>
      <c r="E65" s="12">
        <f>E53*Scenarios!D5</f>
        <v/>
      </c>
      <c r="F65" s="12">
        <f>F53*Scenarios!E5</f>
        <v/>
      </c>
      <c r="G65" s="12">
        <f>G53*Scenarios!F5</f>
        <v/>
      </c>
      <c r="H65" s="12">
        <f>H53*Scenarios!G5</f>
        <v/>
      </c>
      <c r="I65" s="12">
        <f>I53*Scenarios!H5</f>
        <v/>
      </c>
      <c r="J65" s="12">
        <f>J53*Scenarios!I5</f>
        <v/>
      </c>
      <c r="K65" s="12">
        <f>K53*Scenarios!J5</f>
        <v/>
      </c>
    </row>
    <row r="66">
      <c r="A66" s="5" t="inlineStr">
        <is>
          <t>Cash tax on positive EBIT</t>
        </is>
      </c>
      <c r="C66" s="12">
        <f>MAX(0,C61)*Inputs!$C$23</f>
        <v/>
      </c>
      <c r="D66" s="12">
        <f>MAX(0,D61)*Inputs!$C$23</f>
        <v/>
      </c>
      <c r="E66" s="12">
        <f>MAX(0,E61)*Inputs!$C$23</f>
        <v/>
      </c>
      <c r="F66" s="12">
        <f>MAX(0,F61)*Inputs!$C$23</f>
        <v/>
      </c>
      <c r="G66" s="12">
        <f>MAX(0,G61)*Inputs!$C$23</f>
        <v/>
      </c>
      <c r="H66" s="12">
        <f>MAX(0,H61)*Inputs!$C$23</f>
        <v/>
      </c>
      <c r="I66" s="12">
        <f>MAX(0,I61)*Inputs!$C$23</f>
        <v/>
      </c>
      <c r="J66" s="12">
        <f>MAX(0,J61)*Inputs!$C$23</f>
        <v/>
      </c>
      <c r="K66" s="12">
        <f>MAX(0,K61)*Inputs!$C$23</f>
        <v/>
      </c>
    </row>
    <row r="67">
      <c r="A67" s="5" t="inlineStr">
        <is>
          <t>Change in net working capital</t>
        </is>
      </c>
      <c r="C67" s="12">
        <f>Inputs!$C$22*(C53-Inputs!$C$9)</f>
        <v/>
      </c>
      <c r="D67" s="12">
        <f>Inputs!$C$22*(D53-C53)</f>
        <v/>
      </c>
      <c r="E67" s="12">
        <f>Inputs!$C$22*(E53-D53)</f>
        <v/>
      </c>
      <c r="F67" s="12">
        <f>Inputs!$C$22*(F53-E53)</f>
        <v/>
      </c>
      <c r="G67" s="12">
        <f>Inputs!$C$22*(G53-F53)</f>
        <v/>
      </c>
      <c r="H67" s="12">
        <f>Inputs!$C$22*(H53-G53)</f>
        <v/>
      </c>
      <c r="I67" s="12">
        <f>Inputs!$C$22*(I53-H53)</f>
        <v/>
      </c>
      <c r="J67" s="12">
        <f>Inputs!$C$22*(J53-I53)</f>
        <v/>
      </c>
      <c r="K67" s="12">
        <f>Inputs!$C$22*(K53-J53)</f>
        <v/>
      </c>
    </row>
    <row r="68">
      <c r="A68" s="9" t="inlineStr">
        <is>
          <t>Unlevered free cash flow</t>
        </is>
      </c>
      <c r="C68" s="12">
        <f>C61-C66+C63-C65-C67</f>
        <v/>
      </c>
      <c r="D68" s="12">
        <f>D61-D66+D63-D65-D67</f>
        <v/>
      </c>
      <c r="E68" s="12">
        <f>E61-E66+E63-E65-E67</f>
        <v/>
      </c>
      <c r="F68" s="12">
        <f>F61-F66+F63-F65-F67</f>
        <v/>
      </c>
      <c r="G68" s="12">
        <f>G61-G66+G63-G65-G67</f>
        <v/>
      </c>
      <c r="H68" s="12">
        <f>H61-H66+H63-H65-H67</f>
        <v/>
      </c>
      <c r="I68" s="12">
        <f>I61-I66+I63-I65-I67</f>
        <v/>
      </c>
      <c r="J68" s="12">
        <f>J61-J66+J63-J65-J67</f>
        <v/>
      </c>
      <c r="K68" s="12">
        <f>K61-K66+K63-K65-K67</f>
        <v/>
      </c>
    </row>
    <row r="69">
      <c r="A69" s="5" t="inlineStr">
        <is>
          <t>Share of display-glasses segment</t>
        </is>
      </c>
      <c r="C69" s="8">
        <f>C49/1000/Scenarios!B6</f>
        <v/>
      </c>
      <c r="D69" s="8">
        <f>D49/1000/Scenarios!C6</f>
        <v/>
      </c>
      <c r="E69" s="8">
        <f>E49/1000/Scenarios!D6</f>
        <v/>
      </c>
      <c r="F69" s="8">
        <f>F49/1000/Scenarios!E6</f>
        <v/>
      </c>
      <c r="G69" s="8">
        <f>G49/1000/Scenarios!F6</f>
        <v/>
      </c>
      <c r="H69" s="8">
        <f>H49/1000/Scenarios!G6</f>
        <v/>
      </c>
      <c r="I69" s="8">
        <f>I49/1000/Scenarios!H6</f>
        <v/>
      </c>
      <c r="J69" s="8">
        <f>J49/1000/Scenarios!I6</f>
        <v/>
      </c>
      <c r="K69" s="8">
        <f>K49/1000/Scenarios!J6</f>
        <v/>
      </c>
    </row>
    <row r="70">
      <c r="A70" s="5" t="inlineStr">
        <is>
          <t>Discount period (years)</t>
        </is>
      </c>
      <c r="C70" s="33">
        <f>2027+0.5-Inputs!$C$8</f>
        <v/>
      </c>
      <c r="D70" s="33">
        <f>2028+0.5-Inputs!$C$8</f>
        <v/>
      </c>
      <c r="E70" s="33">
        <f>2029+0.5-Inputs!$C$8</f>
        <v/>
      </c>
      <c r="F70" s="33">
        <f>2030+0.5-Inputs!$C$8</f>
        <v/>
      </c>
      <c r="G70" s="33">
        <f>2031+0.5-Inputs!$C$8</f>
        <v/>
      </c>
      <c r="H70" s="33">
        <f>2032+0.5-Inputs!$C$8</f>
        <v/>
      </c>
      <c r="I70" s="33">
        <f>2033+0.5-Inputs!$C$8</f>
        <v/>
      </c>
      <c r="J70" s="33">
        <f>2034+0.5-Inputs!$C$8</f>
        <v/>
      </c>
      <c r="K70" s="33">
        <f>2035+0.5-Inputs!$C$8</f>
        <v/>
      </c>
    </row>
    <row r="71">
      <c r="A71" s="5" t="inlineStr">
        <is>
          <t>Discount factor</t>
        </is>
      </c>
      <c r="C71" s="34">
        <f>1/(1+Inputs!$C$16)^C70</f>
        <v/>
      </c>
      <c r="D71" s="34">
        <f>1/(1+Inputs!$C$16)^D70</f>
        <v/>
      </c>
      <c r="E71" s="34">
        <f>1/(1+Inputs!$C$16)^E70</f>
        <v/>
      </c>
      <c r="F71" s="34">
        <f>1/(1+Inputs!$C$16)^F70</f>
        <v/>
      </c>
      <c r="G71" s="34">
        <f>1/(1+Inputs!$C$16)^G70</f>
        <v/>
      </c>
      <c r="H71" s="34">
        <f>1/(1+Inputs!$C$16)^H70</f>
        <v/>
      </c>
      <c r="I71" s="34">
        <f>1/(1+Inputs!$C$16)^I70</f>
        <v/>
      </c>
      <c r="J71" s="34">
        <f>1/(1+Inputs!$C$16)^J70</f>
        <v/>
      </c>
      <c r="K71" s="34">
        <f>1/(1+Inputs!$C$16)^K70</f>
        <v/>
      </c>
    </row>
    <row r="72">
      <c r="A72" s="9" t="inlineStr">
        <is>
          <t>PV of unlevered FCF</t>
        </is>
      </c>
      <c r="C72" s="12">
        <f>C68*C71</f>
        <v/>
      </c>
      <c r="D72" s="12">
        <f>D68*D71</f>
        <v/>
      </c>
      <c r="E72" s="12">
        <f>E68*E71</f>
        <v/>
      </c>
      <c r="F72" s="12">
        <f>F68*F71</f>
        <v/>
      </c>
      <c r="G72" s="12">
        <f>G68*G71</f>
        <v/>
      </c>
      <c r="H72" s="12">
        <f>H68*H71</f>
        <v/>
      </c>
      <c r="I72" s="12">
        <f>I68*I71</f>
        <v/>
      </c>
      <c r="J72" s="12">
        <f>J68*J71</f>
        <v/>
      </c>
      <c r="K72" s="12">
        <f>K68*K71</f>
        <v/>
      </c>
    </row>
    <row r="74">
      <c r="A74" s="5" t="inlineStr">
        <is>
          <t>Normalized terminal FCF (2035)</t>
        </is>
      </c>
      <c r="C74" s="35">
        <f>K61*(1-Inputs!$C$20)+K63*(1-Inputs!$C$21)-Inputs!$C$22*K53*Inputs!$C$19</f>
        <v/>
      </c>
    </row>
    <row r="75">
      <c r="A75" s="5" t="inlineStr">
        <is>
          <t>Terminal value, exit multiple</t>
        </is>
      </c>
      <c r="C75" s="35">
        <f>K64*Inputs!$C$18</f>
        <v/>
      </c>
    </row>
    <row r="76">
      <c r="A76" s="5" t="inlineStr">
        <is>
          <t>Terminal value, perpetual growth (cross-check)</t>
        </is>
      </c>
      <c r="C76" s="35">
        <f>$C$74*(1+Inputs!$C$19)/(Inputs!$C$16-Inputs!$C$19)</f>
        <v/>
      </c>
    </row>
    <row r="77">
      <c r="A77" s="5" t="inlineStr">
        <is>
          <t>PV of 2027-2035 FCF + Q4 2026 stub</t>
        </is>
      </c>
      <c r="C77" s="35">
        <f>SUM(C72:K72)+Inputs!$C$7</f>
        <v/>
      </c>
    </row>
    <row r="78">
      <c r="A78" s="5" t="inlineStr">
        <is>
          <t>PV of terminal value (exit multiple, end-2035 value)</t>
        </is>
      </c>
      <c r="C78" s="35">
        <f>$C$75/(1+Inputs!$C$16)^(K70+0.5)</f>
        <v/>
      </c>
    </row>
    <row r="79">
      <c r="A79" s="36" t="inlineStr">
        <is>
          <t>Enterprise value</t>
        </is>
      </c>
      <c r="C79" s="37">
        <f>$C$77+$C$78</f>
        <v/>
      </c>
    </row>
    <row r="80">
      <c r="A80" s="5" t="inlineStr">
        <is>
          <t>Equity value</t>
        </is>
      </c>
      <c r="C80" s="35">
        <f>$C$79+Inputs!$C$6</f>
        <v/>
      </c>
    </row>
    <row r="81">
      <c r="A81" s="5" t="inlineStr">
        <is>
          <t>DCF equity value ($bn)</t>
        </is>
      </c>
      <c r="C81" s="12">
        <f>MAX(0,$C$80*1000/Inputs!$C$5)</f>
        <v/>
      </c>
    </row>
    <row r="82">
      <c r="A82" s="5" t="inlineStr">
        <is>
          <t>Floor equity value ($bn)</t>
        </is>
      </c>
      <c r="C82" s="16" t="n">
        <v>0</v>
      </c>
    </row>
    <row r="83">
      <c r="A83" s="5" t="inlineStr">
        <is>
          <t>Equity value before dilution ($bn)</t>
        </is>
      </c>
      <c r="C83" s="12">
        <f>MAX($C$81,$C$82)</f>
        <v/>
      </c>
    </row>
    <row r="84">
      <c r="A84" s="5" t="inlineStr">
        <is>
          <t>Cross-check: equity value at perpetual growth, before dilution ($bn)</t>
        </is>
      </c>
      <c r="C84" s="12">
        <f>MAX(0,($C$77+$C$76*K71+Inputs!$C$6)*1000/Inputs!$C$5)</f>
        <v/>
      </c>
    </row>
    <row r="85">
      <c r="A85" s="5" t="inlineStr">
        <is>
          <t>Perpetual growth implied by the exit multiple</t>
        </is>
      </c>
      <c r="C85" s="8">
        <f>($C$75*Inputs!$C$16-$C$74)/($C$75+$C$74)</f>
        <v/>
      </c>
    </row>
    <row r="86">
      <c r="A86" s="5" t="inlineStr">
        <is>
          <t>Expected future dilution</t>
        </is>
      </c>
      <c r="C86" s="8">
        <f>Inputs!$C$32</f>
        <v/>
      </c>
    </row>
    <row r="87">
      <c r="A87" s="36" t="inlineStr">
        <is>
          <t>Equity value to today's holders ($bn)</t>
        </is>
      </c>
      <c r="C87" s="38">
        <f>$C$83*(1-$C$86)</f>
        <v/>
      </c>
    </row>
    <row r="90">
      <c r="A90" s="9" t="inlineStr">
        <is>
          <t>Bull case</t>
        </is>
      </c>
    </row>
    <row r="91">
      <c r="A91" s="3" t="inlineStr">
        <is>
          <t>Line item</t>
        </is>
      </c>
      <c r="B91" s="4" t="inlineStr"/>
      <c r="C91" s="4" t="inlineStr">
        <is>
          <t>2027</t>
        </is>
      </c>
      <c r="D91" s="4" t="inlineStr">
        <is>
          <t>2028</t>
        </is>
      </c>
      <c r="E91" s="4" t="inlineStr">
        <is>
          <t>2029</t>
        </is>
      </c>
      <c r="F91" s="4" t="inlineStr">
        <is>
          <t>2030</t>
        </is>
      </c>
      <c r="G91" s="4" t="inlineStr">
        <is>
          <t>2031</t>
        </is>
      </c>
      <c r="H91" s="4" t="inlineStr">
        <is>
          <t>2032</t>
        </is>
      </c>
      <c r="I91" s="4" t="inlineStr">
        <is>
          <t>2033</t>
        </is>
      </c>
      <c r="J91" s="4" t="inlineStr">
        <is>
          <t>2034</t>
        </is>
      </c>
      <c r="K91" s="4" t="inlineStr">
        <is>
          <t>2035</t>
        </is>
      </c>
    </row>
    <row r="92">
      <c r="A92" s="5" t="inlineStr">
        <is>
          <t>Units shipped (thousands)</t>
        </is>
      </c>
      <c r="C92" s="31">
        <f>Scenarios!B33*Inputs!$C$35</f>
        <v/>
      </c>
      <c r="D92" s="31">
        <f>Scenarios!C33*Inputs!$C$35</f>
        <v/>
      </c>
      <c r="E92" s="31">
        <f>Scenarios!D33*Inputs!$C$35</f>
        <v/>
      </c>
      <c r="F92" s="31">
        <f>Scenarios!E33*Inputs!$C$35</f>
        <v/>
      </c>
      <c r="G92" s="31">
        <f>Scenarios!F33*Inputs!$C$35</f>
        <v/>
      </c>
      <c r="H92" s="31">
        <f>Scenarios!G33*Inputs!$C$35</f>
        <v/>
      </c>
      <c r="I92" s="31">
        <f>Scenarios!H33*Inputs!$C$35</f>
        <v/>
      </c>
      <c r="J92" s="31">
        <f>Scenarios!I33*Inputs!$C$35</f>
        <v/>
      </c>
      <c r="K92" s="31">
        <f>Scenarios!J33*Inputs!$C$35</f>
        <v/>
      </c>
    </row>
    <row r="93">
      <c r="A93" s="5" t="inlineStr">
        <is>
          <t>Net revenue per pair ($)</t>
        </is>
      </c>
      <c r="C93" s="32">
        <f>Scenarios!B34</f>
        <v/>
      </c>
      <c r="D93" s="32">
        <f>Scenarios!C34</f>
        <v/>
      </c>
      <c r="E93" s="32">
        <f>Scenarios!D34</f>
        <v/>
      </c>
      <c r="F93" s="32">
        <f>Scenarios!E34</f>
        <v/>
      </c>
      <c r="G93" s="32">
        <f>Scenarios!F34</f>
        <v/>
      </c>
      <c r="H93" s="32">
        <f>Scenarios!G34</f>
        <v/>
      </c>
      <c r="I93" s="32">
        <f>Scenarios!H34</f>
        <v/>
      </c>
      <c r="J93" s="32">
        <f>Scenarios!I34</f>
        <v/>
      </c>
      <c r="K93" s="32">
        <f>Scenarios!J34</f>
        <v/>
      </c>
    </row>
    <row r="94">
      <c r="A94" s="5" t="inlineStr">
        <is>
          <t>Hardware revenue</t>
        </is>
      </c>
      <c r="C94" s="12">
        <f>C92*C93/1000000</f>
        <v/>
      </c>
      <c r="D94" s="12">
        <f>D92*D93/1000000</f>
        <v/>
      </c>
      <c r="E94" s="12">
        <f>E92*E93/1000000</f>
        <v/>
      </c>
      <c r="F94" s="12">
        <f>F92*F93/1000000</f>
        <v/>
      </c>
      <c r="G94" s="12">
        <f>G92*G93/1000000</f>
        <v/>
      </c>
      <c r="H94" s="12">
        <f>H92*H93/1000000</f>
        <v/>
      </c>
      <c r="I94" s="12">
        <f>I92*I93/1000000</f>
        <v/>
      </c>
      <c r="J94" s="12">
        <f>J92*J93/1000000</f>
        <v/>
      </c>
      <c r="K94" s="12">
        <f>K92*K93/1000000</f>
        <v/>
      </c>
    </row>
    <row r="95">
      <c r="A95" s="5" t="inlineStr">
        <is>
          <t>Software revenue</t>
        </is>
      </c>
      <c r="C95" s="7">
        <f>Scenarios!B36</f>
        <v/>
      </c>
      <c r="D95" s="7">
        <f>Scenarios!C36</f>
        <v/>
      </c>
      <c r="E95" s="7">
        <f>Scenarios!D36</f>
        <v/>
      </c>
      <c r="F95" s="7">
        <f>Scenarios!E36</f>
        <v/>
      </c>
      <c r="G95" s="7">
        <f>Scenarios!F36</f>
        <v/>
      </c>
      <c r="H95" s="7">
        <f>Scenarios!G36</f>
        <v/>
      </c>
      <c r="I95" s="7">
        <f>Scenarios!H36</f>
        <v/>
      </c>
      <c r="J95" s="7">
        <f>Scenarios!I36</f>
        <v/>
      </c>
      <c r="K95" s="7">
        <f>Scenarios!J36</f>
        <v/>
      </c>
    </row>
    <row r="96">
      <c r="A96" s="9" t="inlineStr">
        <is>
          <t>Total revenue</t>
        </is>
      </c>
      <c r="C96" s="12">
        <f>C94+C95</f>
        <v/>
      </c>
      <c r="D96" s="12">
        <f>D94+D95</f>
        <v/>
      </c>
      <c r="E96" s="12">
        <f>E94+E95</f>
        <v/>
      </c>
      <c r="F96" s="12">
        <f>F94+F95</f>
        <v/>
      </c>
      <c r="G96" s="12">
        <f>G94+G95</f>
        <v/>
      </c>
      <c r="H96" s="12">
        <f>H94+H95</f>
        <v/>
      </c>
      <c r="I96" s="12">
        <f>I94+I95</f>
        <v/>
      </c>
      <c r="J96" s="12">
        <f>J94+J95</f>
        <v/>
      </c>
      <c r="K96" s="12">
        <f>K94+K95</f>
        <v/>
      </c>
    </row>
    <row r="97">
      <c r="A97" s="5" t="inlineStr">
        <is>
          <t>Hardware gross margin</t>
        </is>
      </c>
      <c r="C97" s="6">
        <f>Scenarios!B35+Inputs!$C$36</f>
        <v/>
      </c>
      <c r="D97" s="6">
        <f>Scenarios!C35+Inputs!$C$36</f>
        <v/>
      </c>
      <c r="E97" s="6">
        <f>Scenarios!D35+Inputs!$C$36</f>
        <v/>
      </c>
      <c r="F97" s="6">
        <f>Scenarios!E35+Inputs!$C$36</f>
        <v/>
      </c>
      <c r="G97" s="6">
        <f>Scenarios!F35+Inputs!$C$36</f>
        <v/>
      </c>
      <c r="H97" s="6">
        <f>Scenarios!G35+Inputs!$C$36</f>
        <v/>
      </c>
      <c r="I97" s="6">
        <f>Scenarios!H35+Inputs!$C$36</f>
        <v/>
      </c>
      <c r="J97" s="6">
        <f>Scenarios!I35+Inputs!$C$36</f>
        <v/>
      </c>
      <c r="K97" s="6">
        <f>Scenarios!J35+Inputs!$C$36</f>
        <v/>
      </c>
    </row>
    <row r="98">
      <c r="A98" s="5" t="inlineStr">
        <is>
          <t>Hardware gross profit</t>
        </is>
      </c>
      <c r="C98" s="12">
        <f>C94*C97</f>
        <v/>
      </c>
      <c r="D98" s="12">
        <f>D94*D97</f>
        <v/>
      </c>
      <c r="E98" s="12">
        <f>E94*E97</f>
        <v/>
      </c>
      <c r="F98" s="12">
        <f>F94*F97</f>
        <v/>
      </c>
      <c r="G98" s="12">
        <f>G94*G97</f>
        <v/>
      </c>
      <c r="H98" s="12">
        <f>H94*H97</f>
        <v/>
      </c>
      <c r="I98" s="12">
        <f>I94*I97</f>
        <v/>
      </c>
      <c r="J98" s="12">
        <f>J94*J97</f>
        <v/>
      </c>
      <c r="K98" s="12">
        <f>K94*K97</f>
        <v/>
      </c>
    </row>
    <row r="99">
      <c r="A99" s="5" t="inlineStr">
        <is>
          <t>Software gross margin</t>
        </is>
      </c>
      <c r="C99" s="6">
        <f>Scenarios!B37</f>
        <v/>
      </c>
      <c r="D99" s="6">
        <f>Scenarios!C37</f>
        <v/>
      </c>
      <c r="E99" s="6">
        <f>Scenarios!D37</f>
        <v/>
      </c>
      <c r="F99" s="6">
        <f>Scenarios!E37</f>
        <v/>
      </c>
      <c r="G99" s="6">
        <f>Scenarios!F37</f>
        <v/>
      </c>
      <c r="H99" s="6">
        <f>Scenarios!G37</f>
        <v/>
      </c>
      <c r="I99" s="6">
        <f>Scenarios!H37</f>
        <v/>
      </c>
      <c r="J99" s="6">
        <f>Scenarios!I37</f>
        <v/>
      </c>
      <c r="K99" s="6">
        <f>Scenarios!J37</f>
        <v/>
      </c>
    </row>
    <row r="100">
      <c r="A100" s="5" t="inlineStr">
        <is>
          <t>Software gross profit</t>
        </is>
      </c>
      <c r="C100" s="12">
        <f>C95*C99</f>
        <v/>
      </c>
      <c r="D100" s="12">
        <f>D95*D99</f>
        <v/>
      </c>
      <c r="E100" s="12">
        <f>E95*E99</f>
        <v/>
      </c>
      <c r="F100" s="12">
        <f>F95*F99</f>
        <v/>
      </c>
      <c r="G100" s="12">
        <f>G95*G99</f>
        <v/>
      </c>
      <c r="H100" s="12">
        <f>H95*H99</f>
        <v/>
      </c>
      <c r="I100" s="12">
        <f>I95*I99</f>
        <v/>
      </c>
      <c r="J100" s="12">
        <f>J95*J99</f>
        <v/>
      </c>
      <c r="K100" s="12">
        <f>K95*K99</f>
        <v/>
      </c>
    </row>
    <row r="101">
      <c r="A101" s="9" t="inlineStr">
        <is>
          <t>Gross profit</t>
        </is>
      </c>
      <c r="C101" s="12">
        <f>C98+C100</f>
        <v/>
      </c>
      <c r="D101" s="12">
        <f>D98+D100</f>
        <v/>
      </c>
      <c r="E101" s="12">
        <f>E98+E100</f>
        <v/>
      </c>
      <c r="F101" s="12">
        <f>F98+F100</f>
        <v/>
      </c>
      <c r="G101" s="12">
        <f>G98+G100</f>
        <v/>
      </c>
      <c r="H101" s="12">
        <f>H98+H100</f>
        <v/>
      </c>
      <c r="I101" s="12">
        <f>I98+I100</f>
        <v/>
      </c>
      <c r="J101" s="12">
        <f>J98+J100</f>
        <v/>
      </c>
      <c r="K101" s="12">
        <f>K98+K100</f>
        <v/>
      </c>
    </row>
    <row r="102">
      <c r="A102" s="5" t="inlineStr">
        <is>
          <t>Gross margin</t>
        </is>
      </c>
      <c r="C102" s="8">
        <f>IF(C96=0,0,C101/C96)</f>
        <v/>
      </c>
      <c r="D102" s="8">
        <f>IF(D96=0,0,D101/D96)</f>
        <v/>
      </c>
      <c r="E102" s="8">
        <f>IF(E96=0,0,E101/E96)</f>
        <v/>
      </c>
      <c r="F102" s="8">
        <f>IF(F96=0,0,F101/F96)</f>
        <v/>
      </c>
      <c r="G102" s="8">
        <f>IF(G96=0,0,G101/G96)</f>
        <v/>
      </c>
      <c r="H102" s="8">
        <f>IF(H96=0,0,H101/H96)</f>
        <v/>
      </c>
      <c r="I102" s="8">
        <f>IF(I96=0,0,I101/I96)</f>
        <v/>
      </c>
      <c r="J102" s="8">
        <f>IF(J96=0,0,J101/J96)</f>
        <v/>
      </c>
      <c r="K102" s="8">
        <f>IF(K96=0,0,K101/K96)</f>
        <v/>
      </c>
    </row>
    <row r="103">
      <c r="A103" s="5" t="inlineStr">
        <is>
          <t>Operating expenses incl. stock comp</t>
        </is>
      </c>
      <c r="C103" s="7">
        <f>Scenarios!B38</f>
        <v/>
      </c>
      <c r="D103" s="7">
        <f>Scenarios!C38</f>
        <v/>
      </c>
      <c r="E103" s="7">
        <f>Scenarios!D38</f>
        <v/>
      </c>
      <c r="F103" s="7">
        <f>Scenarios!E38</f>
        <v/>
      </c>
      <c r="G103" s="7">
        <f>Scenarios!F38</f>
        <v/>
      </c>
      <c r="H103" s="7">
        <f>Scenarios!G38</f>
        <v/>
      </c>
      <c r="I103" s="7">
        <f>Scenarios!H38</f>
        <v/>
      </c>
      <c r="J103" s="7">
        <f>Scenarios!I38</f>
        <v/>
      </c>
      <c r="K103" s="7">
        <f>Scenarios!J38</f>
        <v/>
      </c>
    </row>
    <row r="104">
      <c r="A104" s="9" t="inlineStr">
        <is>
          <t>EBIT</t>
        </is>
      </c>
      <c r="C104" s="12">
        <f>C101-C103</f>
        <v/>
      </c>
      <c r="D104" s="12">
        <f>D101-D103</f>
        <v/>
      </c>
      <c r="E104" s="12">
        <f>E101-E103</f>
        <v/>
      </c>
      <c r="F104" s="12">
        <f>F101-F103</f>
        <v/>
      </c>
      <c r="G104" s="12">
        <f>G101-G103</f>
        <v/>
      </c>
      <c r="H104" s="12">
        <f>H101-H103</f>
        <v/>
      </c>
      <c r="I104" s="12">
        <f>I101-I103</f>
        <v/>
      </c>
      <c r="J104" s="12">
        <f>J101-J103</f>
        <v/>
      </c>
      <c r="K104" s="12">
        <f>K101-K103</f>
        <v/>
      </c>
    </row>
    <row r="105">
      <c r="A105" s="5" t="inlineStr">
        <is>
          <t>EBIT margin</t>
        </is>
      </c>
      <c r="C105" s="8">
        <f>IF(C96=0,0,C104/C96)</f>
        <v/>
      </c>
      <c r="D105" s="8">
        <f>IF(D96=0,0,D104/D96)</f>
        <v/>
      </c>
      <c r="E105" s="8">
        <f>IF(E96=0,0,E104/E96)</f>
        <v/>
      </c>
      <c r="F105" s="8">
        <f>IF(F96=0,0,F104/F96)</f>
        <v/>
      </c>
      <c r="G105" s="8">
        <f>IF(G96=0,0,G104/G96)</f>
        <v/>
      </c>
      <c r="H105" s="8">
        <f>IF(H96=0,0,H104/H96)</f>
        <v/>
      </c>
      <c r="I105" s="8">
        <f>IF(I96=0,0,I104/I96)</f>
        <v/>
      </c>
      <c r="J105" s="8">
        <f>IF(J96=0,0,J104/J96)</f>
        <v/>
      </c>
      <c r="K105" s="8">
        <f>IF(K96=0,0,K104/K96)</f>
        <v/>
      </c>
    </row>
    <row r="106">
      <c r="A106" s="5" t="inlineStr">
        <is>
          <t>Depreciation &amp; amortization</t>
        </is>
      </c>
      <c r="C106" s="12">
        <f>C96*Inputs!$C$24</f>
        <v/>
      </c>
      <c r="D106" s="12">
        <f>D96*Inputs!$C$24</f>
        <v/>
      </c>
      <c r="E106" s="12">
        <f>E96*Inputs!$C$24</f>
        <v/>
      </c>
      <c r="F106" s="12">
        <f>F96*Inputs!$C$24</f>
        <v/>
      </c>
      <c r="G106" s="12">
        <f>G96*Inputs!$C$24</f>
        <v/>
      </c>
      <c r="H106" s="12">
        <f>H96*Inputs!$C$24</f>
        <v/>
      </c>
      <c r="I106" s="12">
        <f>I96*Inputs!$C$24</f>
        <v/>
      </c>
      <c r="J106" s="12">
        <f>J96*Inputs!$C$24</f>
        <v/>
      </c>
      <c r="K106" s="12">
        <f>K96*Inputs!$C$24</f>
        <v/>
      </c>
    </row>
    <row r="107">
      <c r="A107" s="9" t="inlineStr">
        <is>
          <t>EBITDA</t>
        </is>
      </c>
      <c r="C107" s="12">
        <f>C104+C106</f>
        <v/>
      </c>
      <c r="D107" s="12">
        <f>D104+D106</f>
        <v/>
      </c>
      <c r="E107" s="12">
        <f>E104+E106</f>
        <v/>
      </c>
      <c r="F107" s="12">
        <f>F104+F106</f>
        <v/>
      </c>
      <c r="G107" s="12">
        <f>G104+G106</f>
        <v/>
      </c>
      <c r="H107" s="12">
        <f>H104+H106</f>
        <v/>
      </c>
      <c r="I107" s="12">
        <f>I104+I106</f>
        <v/>
      </c>
      <c r="J107" s="12">
        <f>J104+J106</f>
        <v/>
      </c>
      <c r="K107" s="12">
        <f>K104+K106</f>
        <v/>
      </c>
    </row>
    <row r="108">
      <c r="A108" s="5" t="inlineStr">
        <is>
          <t>Capital expenditures</t>
        </is>
      </c>
      <c r="C108" s="12">
        <f>C96*Scenarios!B5</f>
        <v/>
      </c>
      <c r="D108" s="12">
        <f>D96*Scenarios!C5</f>
        <v/>
      </c>
      <c r="E108" s="12">
        <f>E96*Scenarios!D5</f>
        <v/>
      </c>
      <c r="F108" s="12">
        <f>F96*Scenarios!E5</f>
        <v/>
      </c>
      <c r="G108" s="12">
        <f>G96*Scenarios!F5</f>
        <v/>
      </c>
      <c r="H108" s="12">
        <f>H96*Scenarios!G5</f>
        <v/>
      </c>
      <c r="I108" s="12">
        <f>I96*Scenarios!H5</f>
        <v/>
      </c>
      <c r="J108" s="12">
        <f>J96*Scenarios!I5</f>
        <v/>
      </c>
      <c r="K108" s="12">
        <f>K96*Scenarios!J5</f>
        <v/>
      </c>
    </row>
    <row r="109">
      <c r="A109" s="5" t="inlineStr">
        <is>
          <t>Cash tax on positive EBIT</t>
        </is>
      </c>
      <c r="C109" s="12">
        <f>MAX(0,C104)*Inputs!$C$23</f>
        <v/>
      </c>
      <c r="D109" s="12">
        <f>MAX(0,D104)*Inputs!$C$23</f>
        <v/>
      </c>
      <c r="E109" s="12">
        <f>MAX(0,E104)*Inputs!$C$23</f>
        <v/>
      </c>
      <c r="F109" s="12">
        <f>MAX(0,F104)*Inputs!$C$23</f>
        <v/>
      </c>
      <c r="G109" s="12">
        <f>MAX(0,G104)*Inputs!$C$23</f>
        <v/>
      </c>
      <c r="H109" s="12">
        <f>MAX(0,H104)*Inputs!$C$23</f>
        <v/>
      </c>
      <c r="I109" s="12">
        <f>MAX(0,I104)*Inputs!$C$23</f>
        <v/>
      </c>
      <c r="J109" s="12">
        <f>MAX(0,J104)*Inputs!$C$23</f>
        <v/>
      </c>
      <c r="K109" s="12">
        <f>MAX(0,K104)*Inputs!$C$23</f>
        <v/>
      </c>
    </row>
    <row r="110">
      <c r="A110" s="5" t="inlineStr">
        <is>
          <t>Change in net working capital</t>
        </is>
      </c>
      <c r="C110" s="12">
        <f>Inputs!$C$22*(C96-Inputs!$C$9)</f>
        <v/>
      </c>
      <c r="D110" s="12">
        <f>Inputs!$C$22*(D96-C96)</f>
        <v/>
      </c>
      <c r="E110" s="12">
        <f>Inputs!$C$22*(E96-D96)</f>
        <v/>
      </c>
      <c r="F110" s="12">
        <f>Inputs!$C$22*(F96-E96)</f>
        <v/>
      </c>
      <c r="G110" s="12">
        <f>Inputs!$C$22*(G96-F96)</f>
        <v/>
      </c>
      <c r="H110" s="12">
        <f>Inputs!$C$22*(H96-G96)</f>
        <v/>
      </c>
      <c r="I110" s="12">
        <f>Inputs!$C$22*(I96-H96)</f>
        <v/>
      </c>
      <c r="J110" s="12">
        <f>Inputs!$C$22*(J96-I96)</f>
        <v/>
      </c>
      <c r="K110" s="12">
        <f>Inputs!$C$22*(K96-J96)</f>
        <v/>
      </c>
    </row>
    <row r="111">
      <c r="A111" s="9" t="inlineStr">
        <is>
          <t>Unlevered free cash flow</t>
        </is>
      </c>
      <c r="C111" s="12">
        <f>C104-C109+C106-C108-C110</f>
        <v/>
      </c>
      <c r="D111" s="12">
        <f>D104-D109+D106-D108-D110</f>
        <v/>
      </c>
      <c r="E111" s="12">
        <f>E104-E109+E106-E108-E110</f>
        <v/>
      </c>
      <c r="F111" s="12">
        <f>F104-F109+F106-F108-F110</f>
        <v/>
      </c>
      <c r="G111" s="12">
        <f>G104-G109+G106-G108-G110</f>
        <v/>
      </c>
      <c r="H111" s="12">
        <f>H104-H109+H106-H108-H110</f>
        <v/>
      </c>
      <c r="I111" s="12">
        <f>I104-I109+I106-I108-I110</f>
        <v/>
      </c>
      <c r="J111" s="12">
        <f>J104-J109+J106-J108-J110</f>
        <v/>
      </c>
      <c r="K111" s="12">
        <f>K104-K109+K106-K108-K110</f>
        <v/>
      </c>
    </row>
    <row r="112">
      <c r="A112" s="5" t="inlineStr">
        <is>
          <t>Share of display-glasses segment</t>
        </is>
      </c>
      <c r="C112" s="8">
        <f>C92/1000/Scenarios!B6</f>
        <v/>
      </c>
      <c r="D112" s="8">
        <f>D92/1000/Scenarios!C6</f>
        <v/>
      </c>
      <c r="E112" s="8">
        <f>E92/1000/Scenarios!D6</f>
        <v/>
      </c>
      <c r="F112" s="8">
        <f>F92/1000/Scenarios!E6</f>
        <v/>
      </c>
      <c r="G112" s="8">
        <f>G92/1000/Scenarios!F6</f>
        <v/>
      </c>
      <c r="H112" s="8">
        <f>H92/1000/Scenarios!G6</f>
        <v/>
      </c>
      <c r="I112" s="8">
        <f>I92/1000/Scenarios!H6</f>
        <v/>
      </c>
      <c r="J112" s="8">
        <f>J92/1000/Scenarios!I6</f>
        <v/>
      </c>
      <c r="K112" s="8">
        <f>K92/1000/Scenarios!J6</f>
        <v/>
      </c>
    </row>
    <row r="113">
      <c r="A113" s="5" t="inlineStr">
        <is>
          <t>Discount period (years)</t>
        </is>
      </c>
      <c r="C113" s="33">
        <f>2027+0.5-Inputs!$C$8</f>
        <v/>
      </c>
      <c r="D113" s="33">
        <f>2028+0.5-Inputs!$C$8</f>
        <v/>
      </c>
      <c r="E113" s="33">
        <f>2029+0.5-Inputs!$C$8</f>
        <v/>
      </c>
      <c r="F113" s="33">
        <f>2030+0.5-Inputs!$C$8</f>
        <v/>
      </c>
      <c r="G113" s="33">
        <f>2031+0.5-Inputs!$C$8</f>
        <v/>
      </c>
      <c r="H113" s="33">
        <f>2032+0.5-Inputs!$C$8</f>
        <v/>
      </c>
      <c r="I113" s="33">
        <f>2033+0.5-Inputs!$C$8</f>
        <v/>
      </c>
      <c r="J113" s="33">
        <f>2034+0.5-Inputs!$C$8</f>
        <v/>
      </c>
      <c r="K113" s="33">
        <f>2035+0.5-Inputs!$C$8</f>
        <v/>
      </c>
    </row>
    <row r="114">
      <c r="A114" s="5" t="inlineStr">
        <is>
          <t>Discount factor</t>
        </is>
      </c>
      <c r="C114" s="34">
        <f>1/(1+Inputs!$C$16)^C113</f>
        <v/>
      </c>
      <c r="D114" s="34">
        <f>1/(1+Inputs!$C$16)^D113</f>
        <v/>
      </c>
      <c r="E114" s="34">
        <f>1/(1+Inputs!$C$16)^E113</f>
        <v/>
      </c>
      <c r="F114" s="34">
        <f>1/(1+Inputs!$C$16)^F113</f>
        <v/>
      </c>
      <c r="G114" s="34">
        <f>1/(1+Inputs!$C$16)^G113</f>
        <v/>
      </c>
      <c r="H114" s="34">
        <f>1/(1+Inputs!$C$16)^H113</f>
        <v/>
      </c>
      <c r="I114" s="34">
        <f>1/(1+Inputs!$C$16)^I113</f>
        <v/>
      </c>
      <c r="J114" s="34">
        <f>1/(1+Inputs!$C$16)^J113</f>
        <v/>
      </c>
      <c r="K114" s="34">
        <f>1/(1+Inputs!$C$16)^K113</f>
        <v/>
      </c>
    </row>
    <row r="115">
      <c r="A115" s="9" t="inlineStr">
        <is>
          <t>PV of unlevered FCF</t>
        </is>
      </c>
      <c r="C115" s="12">
        <f>C111*C114</f>
        <v/>
      </c>
      <c r="D115" s="12">
        <f>D111*D114</f>
        <v/>
      </c>
      <c r="E115" s="12">
        <f>E111*E114</f>
        <v/>
      </c>
      <c r="F115" s="12">
        <f>F111*F114</f>
        <v/>
      </c>
      <c r="G115" s="12">
        <f>G111*G114</f>
        <v/>
      </c>
      <c r="H115" s="12">
        <f>H111*H114</f>
        <v/>
      </c>
      <c r="I115" s="12">
        <f>I111*I114</f>
        <v/>
      </c>
      <c r="J115" s="12">
        <f>J111*J114</f>
        <v/>
      </c>
      <c r="K115" s="12">
        <f>K111*K114</f>
        <v/>
      </c>
    </row>
    <row r="117">
      <c r="A117" s="5" t="inlineStr">
        <is>
          <t>Normalized terminal FCF (2035)</t>
        </is>
      </c>
      <c r="C117" s="35">
        <f>K104*(1-Inputs!$C$20)+K106*(1-Inputs!$C$21)-Inputs!$C$22*K96*Inputs!$C$19</f>
        <v/>
      </c>
    </row>
    <row r="118">
      <c r="A118" s="5" t="inlineStr">
        <is>
          <t>Terminal value, exit multiple</t>
        </is>
      </c>
      <c r="C118" s="35">
        <f>K107*Inputs!$C$18</f>
        <v/>
      </c>
    </row>
    <row r="119">
      <c r="A119" s="5" t="inlineStr">
        <is>
          <t>Terminal value, perpetual growth (cross-check)</t>
        </is>
      </c>
      <c r="C119" s="35">
        <f>$C$117*(1+Inputs!$C$19)/(Inputs!$C$16-Inputs!$C$19)</f>
        <v/>
      </c>
    </row>
    <row r="120">
      <c r="A120" s="5" t="inlineStr">
        <is>
          <t>PV of 2027-2035 FCF + Q4 2026 stub</t>
        </is>
      </c>
      <c r="C120" s="35">
        <f>SUM(C115:K115)+Inputs!$C$7</f>
        <v/>
      </c>
    </row>
    <row r="121">
      <c r="A121" s="5" t="inlineStr">
        <is>
          <t>PV of terminal value (exit multiple, end-2035 value)</t>
        </is>
      </c>
      <c r="C121" s="35">
        <f>$C$118/(1+Inputs!$C$16)^(K113+0.5)</f>
        <v/>
      </c>
    </row>
    <row r="122">
      <c r="A122" s="36" t="inlineStr">
        <is>
          <t>Enterprise value</t>
        </is>
      </c>
      <c r="C122" s="37">
        <f>$C$120+$C$121</f>
        <v/>
      </c>
    </row>
    <row r="123">
      <c r="A123" s="5" t="inlineStr">
        <is>
          <t>Equity value</t>
        </is>
      </c>
      <c r="C123" s="35">
        <f>$C$122+Inputs!$C$6</f>
        <v/>
      </c>
    </row>
    <row r="124">
      <c r="A124" s="5" t="inlineStr">
        <is>
          <t>DCF equity value ($bn)</t>
        </is>
      </c>
      <c r="C124" s="12">
        <f>MAX(0,$C$123*1000/Inputs!$C$5)</f>
        <v/>
      </c>
    </row>
    <row r="125">
      <c r="A125" s="5" t="inlineStr">
        <is>
          <t>Floor equity value ($bn)</t>
        </is>
      </c>
      <c r="C125" s="16" t="n">
        <v>0</v>
      </c>
    </row>
    <row r="126">
      <c r="A126" s="5" t="inlineStr">
        <is>
          <t>Equity value before dilution ($bn)</t>
        </is>
      </c>
      <c r="C126" s="12">
        <f>MAX($C$124,$C$125)</f>
        <v/>
      </c>
    </row>
    <row r="127">
      <c r="A127" s="5" t="inlineStr">
        <is>
          <t>Cross-check: equity value at perpetual growth, before dilution ($bn)</t>
        </is>
      </c>
      <c r="C127" s="12">
        <f>MAX(0,($C$120+$C$119*K114+Inputs!$C$6)*1000/Inputs!$C$5)</f>
        <v/>
      </c>
    </row>
    <row r="128">
      <c r="A128" s="5" t="inlineStr">
        <is>
          <t>Perpetual growth implied by the exit multiple</t>
        </is>
      </c>
      <c r="C128" s="8">
        <f>($C$118*Inputs!$C$16-$C$117)/($C$118+$C$117)</f>
        <v/>
      </c>
    </row>
    <row r="129">
      <c r="A129" s="5" t="inlineStr">
        <is>
          <t>Expected future dilution</t>
        </is>
      </c>
      <c r="C129" s="8">
        <f>Inputs!$C$33</f>
        <v/>
      </c>
    </row>
    <row r="130">
      <c r="A130" s="36" t="inlineStr">
        <is>
          <t>Equity value to today's holders ($bn)</t>
        </is>
      </c>
      <c r="C130" s="38">
        <f>$C$126*(1-$C$129)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51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2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</cols>
  <sheetData>
    <row r="1">
      <c r="A1" s="1" t="inlineStr">
        <is>
          <t>Conviction case: the owner's published call, recomputed from the bull drivers plus two override cells</t>
        </is>
      </c>
    </row>
    <row r="2">
      <c r="A2" s="2" t="inlineStr">
        <is>
          <t>Overrides: Inputs "Conviction: unit multiplier" and "Conviction: exit multiple". Discount rate and bull dilution unchanged.</t>
        </is>
      </c>
    </row>
    <row r="4">
      <c r="A4" s="9" t="inlineStr">
        <is>
          <t>Conviction case (bull drivers with overrides)</t>
        </is>
      </c>
    </row>
    <row r="5">
      <c r="A5" s="3" t="inlineStr">
        <is>
          <t>Line item</t>
        </is>
      </c>
      <c r="B5" s="4" t="inlineStr"/>
      <c r="C5" s="4" t="inlineStr">
        <is>
          <t>2027</t>
        </is>
      </c>
      <c r="D5" s="4" t="inlineStr">
        <is>
          <t>2028</t>
        </is>
      </c>
      <c r="E5" s="4" t="inlineStr">
        <is>
          <t>2029</t>
        </is>
      </c>
      <c r="F5" s="4" t="inlineStr">
        <is>
          <t>2030</t>
        </is>
      </c>
      <c r="G5" s="4" t="inlineStr">
        <is>
          <t>2031</t>
        </is>
      </c>
      <c r="H5" s="4" t="inlineStr">
        <is>
          <t>2032</t>
        </is>
      </c>
      <c r="I5" s="4" t="inlineStr">
        <is>
          <t>2033</t>
        </is>
      </c>
      <c r="J5" s="4" t="inlineStr">
        <is>
          <t>2034</t>
        </is>
      </c>
      <c r="K5" s="4" t="inlineStr">
        <is>
          <t>2035</t>
        </is>
      </c>
    </row>
    <row r="6">
      <c r="A6" s="5" t="inlineStr">
        <is>
          <t>Units shipped (thousands)</t>
        </is>
      </c>
      <c r="C6" s="31">
        <f>Scenarios!B33*Inputs!$C$38</f>
        <v/>
      </c>
      <c r="D6" s="31">
        <f>Scenarios!C33*Inputs!$C$38</f>
        <v/>
      </c>
      <c r="E6" s="31">
        <f>Scenarios!D33*Inputs!$C$38</f>
        <v/>
      </c>
      <c r="F6" s="31">
        <f>Scenarios!E33*Inputs!$C$38</f>
        <v/>
      </c>
      <c r="G6" s="31">
        <f>Scenarios!F33*Inputs!$C$38</f>
        <v/>
      </c>
      <c r="H6" s="31">
        <f>Scenarios!G33*Inputs!$C$38</f>
        <v/>
      </c>
      <c r="I6" s="31">
        <f>Scenarios!H33*Inputs!$C$38</f>
        <v/>
      </c>
      <c r="J6" s="31">
        <f>Scenarios!I33*Inputs!$C$38</f>
        <v/>
      </c>
      <c r="K6" s="31">
        <f>Scenarios!J33*Inputs!$C$38</f>
        <v/>
      </c>
    </row>
    <row r="7">
      <c r="A7" s="5" t="inlineStr">
        <is>
          <t>Net revenue per pair ($)</t>
        </is>
      </c>
      <c r="C7" s="32">
        <f>Scenarios!B34</f>
        <v/>
      </c>
      <c r="D7" s="32">
        <f>Scenarios!C34</f>
        <v/>
      </c>
      <c r="E7" s="32">
        <f>Scenarios!D34</f>
        <v/>
      </c>
      <c r="F7" s="32">
        <f>Scenarios!E34</f>
        <v/>
      </c>
      <c r="G7" s="32">
        <f>Scenarios!F34</f>
        <v/>
      </c>
      <c r="H7" s="32">
        <f>Scenarios!G34</f>
        <v/>
      </c>
      <c r="I7" s="32">
        <f>Scenarios!H34</f>
        <v/>
      </c>
      <c r="J7" s="32">
        <f>Scenarios!I34</f>
        <v/>
      </c>
      <c r="K7" s="32">
        <f>Scenarios!J34</f>
        <v/>
      </c>
    </row>
    <row r="8">
      <c r="A8" s="5" t="inlineStr">
        <is>
          <t>Hardware revenue</t>
        </is>
      </c>
      <c r="C8" s="12">
        <f>C6*C7/1000000</f>
        <v/>
      </c>
      <c r="D8" s="12">
        <f>D6*D7/1000000</f>
        <v/>
      </c>
      <c r="E8" s="12">
        <f>E6*E7/1000000</f>
        <v/>
      </c>
      <c r="F8" s="12">
        <f>F6*F7/1000000</f>
        <v/>
      </c>
      <c r="G8" s="12">
        <f>G6*G7/1000000</f>
        <v/>
      </c>
      <c r="H8" s="12">
        <f>H6*H7/1000000</f>
        <v/>
      </c>
      <c r="I8" s="12">
        <f>I6*I7/1000000</f>
        <v/>
      </c>
      <c r="J8" s="12">
        <f>J6*J7/1000000</f>
        <v/>
      </c>
      <c r="K8" s="12">
        <f>K6*K7/1000000</f>
        <v/>
      </c>
    </row>
    <row r="9">
      <c r="A9" s="5" t="inlineStr">
        <is>
          <t>Software revenue</t>
        </is>
      </c>
      <c r="C9" s="7">
        <f>Scenarios!B36</f>
        <v/>
      </c>
      <c r="D9" s="7">
        <f>Scenarios!C36</f>
        <v/>
      </c>
      <c r="E9" s="7">
        <f>Scenarios!D36</f>
        <v/>
      </c>
      <c r="F9" s="7">
        <f>Scenarios!E36</f>
        <v/>
      </c>
      <c r="G9" s="7">
        <f>Scenarios!F36</f>
        <v/>
      </c>
      <c r="H9" s="7">
        <f>Scenarios!G36</f>
        <v/>
      </c>
      <c r="I9" s="7">
        <f>Scenarios!H36</f>
        <v/>
      </c>
      <c r="J9" s="7">
        <f>Scenarios!I36</f>
        <v/>
      </c>
      <c r="K9" s="7">
        <f>Scenarios!J36</f>
        <v/>
      </c>
    </row>
    <row r="10">
      <c r="A10" s="9" t="inlineStr">
        <is>
          <t>Total revenue</t>
        </is>
      </c>
      <c r="C10" s="12">
        <f>C8+C9</f>
        <v/>
      </c>
      <c r="D10" s="12">
        <f>D8+D9</f>
        <v/>
      </c>
      <c r="E10" s="12">
        <f>E8+E9</f>
        <v/>
      </c>
      <c r="F10" s="12">
        <f>F8+F9</f>
        <v/>
      </c>
      <c r="G10" s="12">
        <f>G8+G9</f>
        <v/>
      </c>
      <c r="H10" s="12">
        <f>H8+H9</f>
        <v/>
      </c>
      <c r="I10" s="12">
        <f>I8+I9</f>
        <v/>
      </c>
      <c r="J10" s="12">
        <f>J8+J9</f>
        <v/>
      </c>
      <c r="K10" s="12">
        <f>K8+K9</f>
        <v/>
      </c>
    </row>
    <row r="11">
      <c r="A11" s="5" t="inlineStr">
        <is>
          <t>Hardware gross margin</t>
        </is>
      </c>
      <c r="C11" s="6">
        <f>Scenarios!B35+0</f>
        <v/>
      </c>
      <c r="D11" s="6">
        <f>Scenarios!C35+0</f>
        <v/>
      </c>
      <c r="E11" s="6">
        <f>Scenarios!D35+0</f>
        <v/>
      </c>
      <c r="F11" s="6">
        <f>Scenarios!E35+0</f>
        <v/>
      </c>
      <c r="G11" s="6">
        <f>Scenarios!F35+0</f>
        <v/>
      </c>
      <c r="H11" s="6">
        <f>Scenarios!G35+0</f>
        <v/>
      </c>
      <c r="I11" s="6">
        <f>Scenarios!H35+0</f>
        <v/>
      </c>
      <c r="J11" s="6">
        <f>Scenarios!I35+0</f>
        <v/>
      </c>
      <c r="K11" s="6">
        <f>Scenarios!J35+0</f>
        <v/>
      </c>
    </row>
    <row r="12">
      <c r="A12" s="5" t="inlineStr">
        <is>
          <t>Hardware gross profit</t>
        </is>
      </c>
      <c r="C12" s="12">
        <f>C8*C11</f>
        <v/>
      </c>
      <c r="D12" s="12">
        <f>D8*D11</f>
        <v/>
      </c>
      <c r="E12" s="12">
        <f>E8*E11</f>
        <v/>
      </c>
      <c r="F12" s="12">
        <f>F8*F11</f>
        <v/>
      </c>
      <c r="G12" s="12">
        <f>G8*G11</f>
        <v/>
      </c>
      <c r="H12" s="12">
        <f>H8*H11</f>
        <v/>
      </c>
      <c r="I12" s="12">
        <f>I8*I11</f>
        <v/>
      </c>
      <c r="J12" s="12">
        <f>J8*J11</f>
        <v/>
      </c>
      <c r="K12" s="12">
        <f>K8*K11</f>
        <v/>
      </c>
    </row>
    <row r="13">
      <c r="A13" s="5" t="inlineStr">
        <is>
          <t>Software gross margin</t>
        </is>
      </c>
      <c r="C13" s="6">
        <f>Scenarios!B37</f>
        <v/>
      </c>
      <c r="D13" s="6">
        <f>Scenarios!C37</f>
        <v/>
      </c>
      <c r="E13" s="6">
        <f>Scenarios!D37</f>
        <v/>
      </c>
      <c r="F13" s="6">
        <f>Scenarios!E37</f>
        <v/>
      </c>
      <c r="G13" s="6">
        <f>Scenarios!F37</f>
        <v/>
      </c>
      <c r="H13" s="6">
        <f>Scenarios!G37</f>
        <v/>
      </c>
      <c r="I13" s="6">
        <f>Scenarios!H37</f>
        <v/>
      </c>
      <c r="J13" s="6">
        <f>Scenarios!I37</f>
        <v/>
      </c>
      <c r="K13" s="6">
        <f>Scenarios!J37</f>
        <v/>
      </c>
    </row>
    <row r="14">
      <c r="A14" s="5" t="inlineStr">
        <is>
          <t>Software gross profit</t>
        </is>
      </c>
      <c r="C14" s="12">
        <f>C9*C13</f>
        <v/>
      </c>
      <c r="D14" s="12">
        <f>D9*D13</f>
        <v/>
      </c>
      <c r="E14" s="12">
        <f>E9*E13</f>
        <v/>
      </c>
      <c r="F14" s="12">
        <f>F9*F13</f>
        <v/>
      </c>
      <c r="G14" s="12">
        <f>G9*G13</f>
        <v/>
      </c>
      <c r="H14" s="12">
        <f>H9*H13</f>
        <v/>
      </c>
      <c r="I14" s="12">
        <f>I9*I13</f>
        <v/>
      </c>
      <c r="J14" s="12">
        <f>J9*J13</f>
        <v/>
      </c>
      <c r="K14" s="12">
        <f>K9*K13</f>
        <v/>
      </c>
    </row>
    <row r="15">
      <c r="A15" s="9" t="inlineStr">
        <is>
          <t>Gross profit</t>
        </is>
      </c>
      <c r="C15" s="12">
        <f>C12+C14</f>
        <v/>
      </c>
      <c r="D15" s="12">
        <f>D12+D14</f>
        <v/>
      </c>
      <c r="E15" s="12">
        <f>E12+E14</f>
        <v/>
      </c>
      <c r="F15" s="12">
        <f>F12+F14</f>
        <v/>
      </c>
      <c r="G15" s="12">
        <f>G12+G14</f>
        <v/>
      </c>
      <c r="H15" s="12">
        <f>H12+H14</f>
        <v/>
      </c>
      <c r="I15" s="12">
        <f>I12+I14</f>
        <v/>
      </c>
      <c r="J15" s="12">
        <f>J12+J14</f>
        <v/>
      </c>
      <c r="K15" s="12">
        <f>K12+K14</f>
        <v/>
      </c>
    </row>
    <row r="16">
      <c r="A16" s="5" t="inlineStr">
        <is>
          <t>Gross margin</t>
        </is>
      </c>
      <c r="C16" s="8">
        <f>IF(C10=0,0,C15/C10)</f>
        <v/>
      </c>
      <c r="D16" s="8">
        <f>IF(D10=0,0,D15/D10)</f>
        <v/>
      </c>
      <c r="E16" s="8">
        <f>IF(E10=0,0,E15/E10)</f>
        <v/>
      </c>
      <c r="F16" s="8">
        <f>IF(F10=0,0,F15/F10)</f>
        <v/>
      </c>
      <c r="G16" s="8">
        <f>IF(G10=0,0,G15/G10)</f>
        <v/>
      </c>
      <c r="H16" s="8">
        <f>IF(H10=0,0,H15/H10)</f>
        <v/>
      </c>
      <c r="I16" s="8">
        <f>IF(I10=0,0,I15/I10)</f>
        <v/>
      </c>
      <c r="J16" s="8">
        <f>IF(J10=0,0,J15/J10)</f>
        <v/>
      </c>
      <c r="K16" s="8">
        <f>IF(K10=0,0,K15/K10)</f>
        <v/>
      </c>
    </row>
    <row r="17">
      <c r="A17" s="5" t="inlineStr">
        <is>
          <t>Operating expenses incl. stock comp</t>
        </is>
      </c>
      <c r="C17" s="7">
        <f>Scenarios!B38</f>
        <v/>
      </c>
      <c r="D17" s="7">
        <f>Scenarios!C38</f>
        <v/>
      </c>
      <c r="E17" s="7">
        <f>Scenarios!D38</f>
        <v/>
      </c>
      <c r="F17" s="7">
        <f>Scenarios!E38</f>
        <v/>
      </c>
      <c r="G17" s="7">
        <f>Scenarios!F38</f>
        <v/>
      </c>
      <c r="H17" s="7">
        <f>Scenarios!G38</f>
        <v/>
      </c>
      <c r="I17" s="7">
        <f>Scenarios!H38</f>
        <v/>
      </c>
      <c r="J17" s="7">
        <f>Scenarios!I38</f>
        <v/>
      </c>
      <c r="K17" s="7">
        <f>Scenarios!J38</f>
        <v/>
      </c>
    </row>
    <row r="18">
      <c r="A18" s="9" t="inlineStr">
        <is>
          <t>EBIT</t>
        </is>
      </c>
      <c r="C18" s="12">
        <f>C15-C17</f>
        <v/>
      </c>
      <c r="D18" s="12">
        <f>D15-D17</f>
        <v/>
      </c>
      <c r="E18" s="12">
        <f>E15-E17</f>
        <v/>
      </c>
      <c r="F18" s="12">
        <f>F15-F17</f>
        <v/>
      </c>
      <c r="G18" s="12">
        <f>G15-G17</f>
        <v/>
      </c>
      <c r="H18" s="12">
        <f>H15-H17</f>
        <v/>
      </c>
      <c r="I18" s="12">
        <f>I15-I17</f>
        <v/>
      </c>
      <c r="J18" s="12">
        <f>J15-J17</f>
        <v/>
      </c>
      <c r="K18" s="12">
        <f>K15-K17</f>
        <v/>
      </c>
    </row>
    <row r="19">
      <c r="A19" s="5" t="inlineStr">
        <is>
          <t>EBIT margin</t>
        </is>
      </c>
      <c r="C19" s="8">
        <f>IF(C10=0,0,C18/C10)</f>
        <v/>
      </c>
      <c r="D19" s="8">
        <f>IF(D10=0,0,D18/D10)</f>
        <v/>
      </c>
      <c r="E19" s="8">
        <f>IF(E10=0,0,E18/E10)</f>
        <v/>
      </c>
      <c r="F19" s="8">
        <f>IF(F10=0,0,F18/F10)</f>
        <v/>
      </c>
      <c r="G19" s="8">
        <f>IF(G10=0,0,G18/G10)</f>
        <v/>
      </c>
      <c r="H19" s="8">
        <f>IF(H10=0,0,H18/H10)</f>
        <v/>
      </c>
      <c r="I19" s="8">
        <f>IF(I10=0,0,I18/I10)</f>
        <v/>
      </c>
      <c r="J19" s="8">
        <f>IF(J10=0,0,J18/J10)</f>
        <v/>
      </c>
      <c r="K19" s="8">
        <f>IF(K10=0,0,K18/K10)</f>
        <v/>
      </c>
    </row>
    <row r="20">
      <c r="A20" s="5" t="inlineStr">
        <is>
          <t>Depreciation &amp; amortization</t>
        </is>
      </c>
      <c r="C20" s="12">
        <f>C10*Inputs!$C$24</f>
        <v/>
      </c>
      <c r="D20" s="12">
        <f>D10*Inputs!$C$24</f>
        <v/>
      </c>
      <c r="E20" s="12">
        <f>E10*Inputs!$C$24</f>
        <v/>
      </c>
      <c r="F20" s="12">
        <f>F10*Inputs!$C$24</f>
        <v/>
      </c>
      <c r="G20" s="12">
        <f>G10*Inputs!$C$24</f>
        <v/>
      </c>
      <c r="H20" s="12">
        <f>H10*Inputs!$C$24</f>
        <v/>
      </c>
      <c r="I20" s="12">
        <f>I10*Inputs!$C$24</f>
        <v/>
      </c>
      <c r="J20" s="12">
        <f>J10*Inputs!$C$24</f>
        <v/>
      </c>
      <c r="K20" s="12">
        <f>K10*Inputs!$C$24</f>
        <v/>
      </c>
    </row>
    <row r="21">
      <c r="A21" s="9" t="inlineStr">
        <is>
          <t>EBITDA</t>
        </is>
      </c>
      <c r="C21" s="12">
        <f>C18+C20</f>
        <v/>
      </c>
      <c r="D21" s="12">
        <f>D18+D20</f>
        <v/>
      </c>
      <c r="E21" s="12">
        <f>E18+E20</f>
        <v/>
      </c>
      <c r="F21" s="12">
        <f>F18+F20</f>
        <v/>
      </c>
      <c r="G21" s="12">
        <f>G18+G20</f>
        <v/>
      </c>
      <c r="H21" s="12">
        <f>H18+H20</f>
        <v/>
      </c>
      <c r="I21" s="12">
        <f>I18+I20</f>
        <v/>
      </c>
      <c r="J21" s="12">
        <f>J18+J20</f>
        <v/>
      </c>
      <c r="K21" s="12">
        <f>K18+K20</f>
        <v/>
      </c>
    </row>
    <row r="22">
      <c r="A22" s="5" t="inlineStr">
        <is>
          <t>Capital expenditures</t>
        </is>
      </c>
      <c r="C22" s="12">
        <f>C10*Scenarios!B5</f>
        <v/>
      </c>
      <c r="D22" s="12">
        <f>D10*Scenarios!C5</f>
        <v/>
      </c>
      <c r="E22" s="12">
        <f>E10*Scenarios!D5</f>
        <v/>
      </c>
      <c r="F22" s="12">
        <f>F10*Scenarios!E5</f>
        <v/>
      </c>
      <c r="G22" s="12">
        <f>G10*Scenarios!F5</f>
        <v/>
      </c>
      <c r="H22" s="12">
        <f>H10*Scenarios!G5</f>
        <v/>
      </c>
      <c r="I22" s="12">
        <f>I10*Scenarios!H5</f>
        <v/>
      </c>
      <c r="J22" s="12">
        <f>J10*Scenarios!I5</f>
        <v/>
      </c>
      <c r="K22" s="12">
        <f>K10*Scenarios!J5</f>
        <v/>
      </c>
    </row>
    <row r="23">
      <c r="A23" s="5" t="inlineStr">
        <is>
          <t>Cash tax on positive EBIT</t>
        </is>
      </c>
      <c r="C23" s="12">
        <f>MAX(0,C18)*Inputs!$C$23</f>
        <v/>
      </c>
      <c r="D23" s="12">
        <f>MAX(0,D18)*Inputs!$C$23</f>
        <v/>
      </c>
      <c r="E23" s="12">
        <f>MAX(0,E18)*Inputs!$C$23</f>
        <v/>
      </c>
      <c r="F23" s="12">
        <f>MAX(0,F18)*Inputs!$C$23</f>
        <v/>
      </c>
      <c r="G23" s="12">
        <f>MAX(0,G18)*Inputs!$C$23</f>
        <v/>
      </c>
      <c r="H23" s="12">
        <f>MAX(0,H18)*Inputs!$C$23</f>
        <v/>
      </c>
      <c r="I23" s="12">
        <f>MAX(0,I18)*Inputs!$C$23</f>
        <v/>
      </c>
      <c r="J23" s="12">
        <f>MAX(0,J18)*Inputs!$C$23</f>
        <v/>
      </c>
      <c r="K23" s="12">
        <f>MAX(0,K18)*Inputs!$C$23</f>
        <v/>
      </c>
    </row>
    <row r="24">
      <c r="A24" s="5" t="inlineStr">
        <is>
          <t>Change in net working capital</t>
        </is>
      </c>
      <c r="C24" s="12">
        <f>Inputs!$C$22*(C10-Inputs!$C$9)</f>
        <v/>
      </c>
      <c r="D24" s="12">
        <f>Inputs!$C$22*(D10-C10)</f>
        <v/>
      </c>
      <c r="E24" s="12">
        <f>Inputs!$C$22*(E10-D10)</f>
        <v/>
      </c>
      <c r="F24" s="12">
        <f>Inputs!$C$22*(F10-E10)</f>
        <v/>
      </c>
      <c r="G24" s="12">
        <f>Inputs!$C$22*(G10-F10)</f>
        <v/>
      </c>
      <c r="H24" s="12">
        <f>Inputs!$C$22*(H10-G10)</f>
        <v/>
      </c>
      <c r="I24" s="12">
        <f>Inputs!$C$22*(I10-H10)</f>
        <v/>
      </c>
      <c r="J24" s="12">
        <f>Inputs!$C$22*(J10-I10)</f>
        <v/>
      </c>
      <c r="K24" s="12">
        <f>Inputs!$C$22*(K10-J10)</f>
        <v/>
      </c>
    </row>
    <row r="25">
      <c r="A25" s="9" t="inlineStr">
        <is>
          <t>Unlevered free cash flow</t>
        </is>
      </c>
      <c r="C25" s="12">
        <f>C18-C23+C20-C22-C24</f>
        <v/>
      </c>
      <c r="D25" s="12">
        <f>D18-D23+D20-D22-D24</f>
        <v/>
      </c>
      <c r="E25" s="12">
        <f>E18-E23+E20-E22-E24</f>
        <v/>
      </c>
      <c r="F25" s="12">
        <f>F18-F23+F20-F22-F24</f>
        <v/>
      </c>
      <c r="G25" s="12">
        <f>G18-G23+G20-G22-G24</f>
        <v/>
      </c>
      <c r="H25" s="12">
        <f>H18-H23+H20-H22-H24</f>
        <v/>
      </c>
      <c r="I25" s="12">
        <f>I18-I23+I20-I22-I24</f>
        <v/>
      </c>
      <c r="J25" s="12">
        <f>J18-J23+J20-J22-J24</f>
        <v/>
      </c>
      <c r="K25" s="12">
        <f>K18-K23+K20-K22-K24</f>
        <v/>
      </c>
    </row>
    <row r="26">
      <c r="A26" s="5" t="inlineStr">
        <is>
          <t>Share of display-glasses segment</t>
        </is>
      </c>
      <c r="C26" s="8">
        <f>C6/1000/Scenarios!B6</f>
        <v/>
      </c>
      <c r="D26" s="8">
        <f>D6/1000/Scenarios!C6</f>
        <v/>
      </c>
      <c r="E26" s="8">
        <f>E6/1000/Scenarios!D6</f>
        <v/>
      </c>
      <c r="F26" s="8">
        <f>F6/1000/Scenarios!E6</f>
        <v/>
      </c>
      <c r="G26" s="8">
        <f>G6/1000/Scenarios!F6</f>
        <v/>
      </c>
      <c r="H26" s="8">
        <f>H6/1000/Scenarios!G6</f>
        <v/>
      </c>
      <c r="I26" s="8">
        <f>I6/1000/Scenarios!H6</f>
        <v/>
      </c>
      <c r="J26" s="8">
        <f>J6/1000/Scenarios!I6</f>
        <v/>
      </c>
      <c r="K26" s="8">
        <f>K6/1000/Scenarios!J6</f>
        <v/>
      </c>
    </row>
    <row r="27">
      <c r="A27" s="5" t="inlineStr">
        <is>
          <t>Discount period (years)</t>
        </is>
      </c>
      <c r="C27" s="33">
        <f>2027+0.5-Inputs!$C$8</f>
        <v/>
      </c>
      <c r="D27" s="33">
        <f>2028+0.5-Inputs!$C$8</f>
        <v/>
      </c>
      <c r="E27" s="33">
        <f>2029+0.5-Inputs!$C$8</f>
        <v/>
      </c>
      <c r="F27" s="33">
        <f>2030+0.5-Inputs!$C$8</f>
        <v/>
      </c>
      <c r="G27" s="33">
        <f>2031+0.5-Inputs!$C$8</f>
        <v/>
      </c>
      <c r="H27" s="33">
        <f>2032+0.5-Inputs!$C$8</f>
        <v/>
      </c>
      <c r="I27" s="33">
        <f>2033+0.5-Inputs!$C$8</f>
        <v/>
      </c>
      <c r="J27" s="33">
        <f>2034+0.5-Inputs!$C$8</f>
        <v/>
      </c>
      <c r="K27" s="33">
        <f>2035+0.5-Inputs!$C$8</f>
        <v/>
      </c>
    </row>
    <row r="28">
      <c r="A28" s="5" t="inlineStr">
        <is>
          <t>Discount factor</t>
        </is>
      </c>
      <c r="C28" s="34">
        <f>1/(1+Inputs!$C$16)^C27</f>
        <v/>
      </c>
      <c r="D28" s="34">
        <f>1/(1+Inputs!$C$16)^D27</f>
        <v/>
      </c>
      <c r="E28" s="34">
        <f>1/(1+Inputs!$C$16)^E27</f>
        <v/>
      </c>
      <c r="F28" s="34">
        <f>1/(1+Inputs!$C$16)^F27</f>
        <v/>
      </c>
      <c r="G28" s="34">
        <f>1/(1+Inputs!$C$16)^G27</f>
        <v/>
      </c>
      <c r="H28" s="34">
        <f>1/(1+Inputs!$C$16)^H27</f>
        <v/>
      </c>
      <c r="I28" s="34">
        <f>1/(1+Inputs!$C$16)^I27</f>
        <v/>
      </c>
      <c r="J28" s="34">
        <f>1/(1+Inputs!$C$16)^J27</f>
        <v/>
      </c>
      <c r="K28" s="34">
        <f>1/(1+Inputs!$C$16)^K27</f>
        <v/>
      </c>
    </row>
    <row r="29">
      <c r="A29" s="9" t="inlineStr">
        <is>
          <t>PV of unlevered FCF</t>
        </is>
      </c>
      <c r="C29" s="12">
        <f>C25*C28</f>
        <v/>
      </c>
      <c r="D29" s="12">
        <f>D25*D28</f>
        <v/>
      </c>
      <c r="E29" s="12">
        <f>E25*E28</f>
        <v/>
      </c>
      <c r="F29" s="12">
        <f>F25*F28</f>
        <v/>
      </c>
      <c r="G29" s="12">
        <f>G25*G28</f>
        <v/>
      </c>
      <c r="H29" s="12">
        <f>H25*H28</f>
        <v/>
      </c>
      <c r="I29" s="12">
        <f>I25*I28</f>
        <v/>
      </c>
      <c r="J29" s="12">
        <f>J25*J28</f>
        <v/>
      </c>
      <c r="K29" s="12">
        <f>K25*K28</f>
        <v/>
      </c>
    </row>
    <row r="31">
      <c r="A31" s="5" t="inlineStr">
        <is>
          <t>Normalized terminal FCF (2035)</t>
        </is>
      </c>
      <c r="C31" s="35">
        <f>K18*(1-Inputs!$C$20)+K20*(1-Inputs!$C$21)-Inputs!$C$22*K10*Inputs!$C$19</f>
        <v/>
      </c>
    </row>
    <row r="32">
      <c r="A32" s="5" t="inlineStr">
        <is>
          <t>Terminal value, exit multiple</t>
        </is>
      </c>
      <c r="C32" s="35">
        <f>K21*Inputs!$C$39</f>
        <v/>
      </c>
    </row>
    <row r="33">
      <c r="A33" s="5" t="inlineStr">
        <is>
          <t>Terminal value, perpetual growth (cross-check)</t>
        </is>
      </c>
      <c r="C33" s="35">
        <f>$C$31*(1+Inputs!$C$19)/(Inputs!$C$16-Inputs!$C$19)</f>
        <v/>
      </c>
    </row>
    <row r="34">
      <c r="A34" s="5" t="inlineStr">
        <is>
          <t>PV of 2027-2035 FCF + Q4 2026 stub</t>
        </is>
      </c>
      <c r="C34" s="35">
        <f>SUM(C29:K29)+Inputs!$C$7</f>
        <v/>
      </c>
    </row>
    <row r="35">
      <c r="A35" s="5" t="inlineStr">
        <is>
          <t>PV of terminal value (exit multiple, end-2035 value)</t>
        </is>
      </c>
      <c r="C35" s="35">
        <f>$C$32/(1+Inputs!$C$16)^(K27+0.5)</f>
        <v/>
      </c>
    </row>
    <row r="36">
      <c r="A36" s="36" t="inlineStr">
        <is>
          <t>Enterprise value</t>
        </is>
      </c>
      <c r="C36" s="37">
        <f>$C$34+$C$35</f>
        <v/>
      </c>
    </row>
    <row r="37">
      <c r="A37" s="5" t="inlineStr">
        <is>
          <t>Equity value</t>
        </is>
      </c>
      <c r="C37" s="35">
        <f>$C$36+Inputs!$C$6</f>
        <v/>
      </c>
    </row>
    <row r="38">
      <c r="A38" s="5" t="inlineStr">
        <is>
          <t>DCF equity value ($bn)</t>
        </is>
      </c>
      <c r="C38" s="12">
        <f>MAX(0,$C$37*1000/Inputs!$C$5)</f>
        <v/>
      </c>
    </row>
    <row r="39">
      <c r="A39" s="5" t="inlineStr">
        <is>
          <t>Floor equity value ($bn)</t>
        </is>
      </c>
      <c r="C39" s="16" t="n">
        <v>0</v>
      </c>
    </row>
    <row r="40">
      <c r="A40" s="5" t="inlineStr">
        <is>
          <t>Equity value before dilution ($bn)</t>
        </is>
      </c>
      <c r="C40" s="12">
        <f>MAX($C$38,$C$39)</f>
        <v/>
      </c>
    </row>
    <row r="41">
      <c r="A41" s="5" t="inlineStr">
        <is>
          <t>Cross-check: equity value at perpetual growth, before dilution ($bn)</t>
        </is>
      </c>
      <c r="C41" s="12">
        <f>MAX(0,($C$34+$C$33*K28+Inputs!$C$6)*1000/Inputs!$C$5)</f>
        <v/>
      </c>
    </row>
    <row r="42">
      <c r="A42" s="5" t="inlineStr">
        <is>
          <t>Perpetual growth implied by the exit multiple</t>
        </is>
      </c>
      <c r="C42" s="8">
        <f>($C$32*Inputs!$C$16-$C$31)/($C$32+$C$31)</f>
        <v/>
      </c>
    </row>
    <row r="43">
      <c r="A43" s="5" t="inlineStr">
        <is>
          <t>Expected future dilution</t>
        </is>
      </c>
      <c r="C43" s="8">
        <f>Inputs!$C$33</f>
        <v/>
      </c>
    </row>
    <row r="44">
      <c r="A44" s="36" t="inlineStr">
        <is>
          <t>Equity value to today's holders ($bn)</t>
        </is>
      </c>
      <c r="C44" s="38">
        <f>$C$40*(1-$C$43)</f>
        <v/>
      </c>
    </row>
    <row r="47">
      <c r="A47" s="2" t="inlineStr">
        <is>
          <t>Belief 1: Even keeps about an eighth of a growing display-glasses market, helped by a China launch with Meituan and Tencent: 670,000 units in 2030 and 1.8 million in 2035 (12% of a 15 million unit segment).</t>
        </is>
      </c>
    </row>
    <row r="48">
      <c r="A48" s="2" t="inlineStr">
        <is>
          <t>Belief 2: Customers keep paying a premium: net revenue per pair stays between $670 and $790, against about $1,000 per order today.</t>
        </is>
      </c>
    </row>
    <row r="49">
      <c r="A49" s="2" t="inlineStr">
        <is>
          <t>Belief 3: Hardware gross margin holds at 50% and the business reaches a Garmin-like operating margin of about 24% by 2035.</t>
        </is>
      </c>
    </row>
    <row r="50">
      <c r="A50" s="2" t="inlineStr">
        <is>
          <t>Belief 4: A paid software layer reaches $170 million a year by 2035 (Even Hub, Conversate, AI features).</t>
        </is>
      </c>
    </row>
    <row r="51">
      <c r="A51" s="2" t="inlineStr">
        <is>
          <t>Belief 5: Buyers pay 14x 2035 EBITDA for a profitable, growing premium wearables brand, below Garmin’s 28.8x trailing earnings multiple today.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1" customWidth="1" min="2" max="2"/>
    <col width="11" customWidth="1" min="3" max="3"/>
    <col width="11" customWidth="1" min="4" max="4"/>
  </cols>
  <sheetData>
    <row r="1">
      <c r="A1" s="1" t="inlineStr">
        <is>
          <t>History: estimated, not reported (tag D). The company publishes no financial statements.</t>
        </is>
      </c>
    </row>
    <row r="3">
      <c r="A3" s="3" t="inlineStr">
        <is>
          <t>Line item</t>
        </is>
      </c>
      <c r="B3" s="4" t="inlineStr">
        <is>
          <t>2024E</t>
        </is>
      </c>
      <c r="C3" s="4" t="inlineStr">
        <is>
          <t>2025E</t>
        </is>
      </c>
      <c r="D3" s="4" t="inlineStr">
        <is>
          <t>2026E</t>
        </is>
      </c>
    </row>
    <row r="4">
      <c r="A4" s="5" t="inlineStr">
        <is>
          <t>Units (thousands)</t>
        </is>
      </c>
      <c r="B4" s="30" t="n">
        <v>8</v>
      </c>
      <c r="C4" s="30" t="n">
        <v>18</v>
      </c>
      <c r="D4" s="30" t="n">
        <v>65</v>
      </c>
    </row>
    <row r="5">
      <c r="A5" s="5" t="inlineStr">
        <is>
          <t>Net revenue per pair ($)</t>
        </is>
      </c>
      <c r="B5" s="21" t="n">
        <v>640</v>
      </c>
      <c r="C5" s="21" t="n">
        <v>700</v>
      </c>
      <c r="D5" s="21" t="n">
        <v>780</v>
      </c>
    </row>
    <row r="6">
      <c r="A6" s="5" t="inlineStr">
        <is>
          <t>Revenue ($bn)</t>
        </is>
      </c>
      <c r="B6" s="16" t="n">
        <v>0.005</v>
      </c>
      <c r="C6" s="16" t="n">
        <v>0.013</v>
      </c>
      <c r="D6" s="16" t="n">
        <v>0.051</v>
      </c>
    </row>
    <row r="7">
      <c r="A7" s="5" t="inlineStr">
        <is>
          <t>Gross margin</t>
        </is>
      </c>
      <c r="B7" s="15" t="n">
        <v>0.4</v>
      </c>
      <c r="C7" s="15" t="n">
        <v>0.42</v>
      </c>
      <c r="D7" s="15" t="n">
        <v>0.46</v>
      </c>
    </row>
    <row r="8">
      <c r="A8" s="5" t="inlineStr">
        <is>
          <t>Operating expenses ($bn)</t>
        </is>
      </c>
      <c r="B8" s="16" t="n">
        <v>0.012</v>
      </c>
      <c r="C8" s="16" t="n">
        <v>0.018</v>
      </c>
      <c r="D8" s="16" t="n">
        <v>0.026</v>
      </c>
    </row>
    <row r="9">
      <c r="A9" s="5" t="inlineStr">
        <is>
          <t>EBIT ($bn)</t>
        </is>
      </c>
      <c r="B9" s="16" t="n">
        <v>-0.01</v>
      </c>
      <c r="C9" s="16" t="n">
        <v>-0.013</v>
      </c>
      <c r="D9" s="16" t="n">
        <v>-0.003</v>
      </c>
    </row>
    <row r="11">
      <c r="A11" s="9" t="inlineStr">
        <is>
          <t>Disclosed anchors</t>
        </is>
      </c>
    </row>
    <row r="12">
      <c r="A12" s="2" t="inlineStr">
        <is>
          <t>~3,000 G2 delivered and &gt; RMB 16M (~$2.2M) order revenue, Nov 2025 to end-Jan 2026 (A/C): Jiemian via Sina Finance, Apr 17 2026.</t>
        </is>
      </c>
    </row>
    <row r="13">
      <c r="A13" s="2" t="inlineStr">
        <is>
          <t>"More than 10,000 pairs, surpassing its 10,000-unit target"; the company is profitable (C): CEO Will Wang to TechCrunch, Jul 6 2026.</t>
        </is>
      </c>
    </row>
    <row r="14">
      <c r="A14" s="2" t="inlineStr">
        <is>
          <t>Average order about $1,000 including prescription lenses or the ring (C): TechCrunch, Jul 6 2026. G2 $599, R1 $249 (A).</t>
        </is>
      </c>
    </row>
    <row r="15">
      <c r="A15" s="2" t="inlineStr">
        <is>
          <t>Even Realities 11% of display (AR &amp; AI) glasses shipments, H1 2026 (E): Counterpoint, Sep 21 2026, chart values via 9to5Mac.</t>
        </is>
      </c>
    </row>
    <row r="16">
      <c r="A16" s="2" t="inlineStr">
        <is>
          <t>Display AI glasses 730,000 units in 2025, 8.4% of 8.7M AI glasses (E): Omdia, Mar 5 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2026-10-16T20:47:03Z</dcterms:created>
  <dcterms:modified xmlns:dcterms="http://purl.org/dc/terms/" xmlns:xsi="http://www.w3.org/2001/XMLSchema-instance" xsi:type="dcterms:W3CDTF">2026-10-16T20:47:03Z</dcterms:modified>
</cp:coreProperties>
</file>