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tion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Scenarios" sheetId="3" state="visible" r:id="rId3"/>
    <sheet xmlns:r="http://schemas.openxmlformats.org/officeDocument/2006/relationships" name="Model" sheetId="4" state="visible" r:id="rId4"/>
    <sheet xmlns:r="http://schemas.openxmlformats.org/officeDocument/2006/relationships" name="Histo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.00"/>
    <numFmt numFmtId="165" formatCode="$#,##0.00;($#,##0.00);&quot;-&quot;"/>
    <numFmt numFmtId="166" formatCode="0.0%;(0.0%);&quot;-&quot;"/>
    <numFmt numFmtId="167" formatCode="0.0&quot;x&quot;"/>
    <numFmt numFmtId="168" formatCode="0.00&quot;x&quot;"/>
    <numFmt numFmtId="169" formatCode="0.000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55555"/>
      <sz val="10"/>
    </font>
    <font>
      <name val="Arial"/>
      <b val="1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00"/>
      </patternFill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4" borderId="0" applyAlignment="1" pivotButton="0" quotePrefix="0" xfId="0">
      <alignment horizontal="left"/>
    </xf>
    <xf numFmtId="0" fontId="6" fillId="4" borderId="0" applyAlignment="1" pivotButton="0" quotePrefix="0" xfId="0">
      <alignment horizontal="center"/>
    </xf>
    <xf numFmtId="0" fontId="4" fillId="0" borderId="0" pivotButton="0" quotePrefix="0" xfId="0"/>
    <xf numFmtId="166" fontId="7" fillId="0" borderId="0" pivotButton="0" quotePrefix="0" xfId="0"/>
    <xf numFmtId="164" fontId="7" fillId="0" borderId="0" pivotButton="0" quotePrefix="0" xfId="0"/>
    <xf numFmtId="166" fontId="4" fillId="0" borderId="0" pivotButton="0" quotePrefix="0" xfId="0"/>
    <xf numFmtId="0" fontId="3" fillId="0" borderId="0" pivotButton="0" quotePrefix="0" xfId="0"/>
    <xf numFmtId="164" fontId="4" fillId="3" borderId="0" pivotButton="0" quotePrefix="0" xfId="0"/>
    <xf numFmtId="166" fontId="5" fillId="0" borderId="0" pivotButton="0" quotePrefix="0" xfId="0"/>
    <xf numFmtId="0" fontId="4" fillId="3" borderId="0" pivotButton="0" quotePrefix="0" xfId="0"/>
    <xf numFmtId="164" fontId="4" fillId="0" borderId="0" pivotButton="0" quotePrefix="0" xfId="0"/>
    <xf numFmtId="167" fontId="6" fillId="4" borderId="0" applyAlignment="1" pivotButton="0" quotePrefix="0" xfId="0">
      <alignment horizontal="center"/>
    </xf>
    <xf numFmtId="167" fontId="5" fillId="0" borderId="0" pivotButton="0" quotePrefix="0" xfId="0"/>
    <xf numFmtId="167" fontId="2" fillId="0" borderId="0" pivotButton="0" quotePrefix="0" xfId="0"/>
    <xf numFmtId="167" fontId="7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5" fillId="0" borderId="0" pivotButton="0" quotePrefix="0" xfId="0"/>
    <xf numFmtId="3" fontId="5" fillId="0" borderId="0" pivotButton="0" quotePrefix="0" xfId="0"/>
    <xf numFmtId="165" fontId="5" fillId="0" borderId="0" pivotButton="0" quotePrefix="0" xfId="0"/>
    <xf numFmtId="165" fontId="4" fillId="0" borderId="0" pivotButton="0" quotePrefix="0" xfId="0"/>
    <xf numFmtId="166" fontId="5" fillId="3" borderId="0" pivotButton="0" quotePrefix="0" xfId="0"/>
    <xf numFmtId="2" fontId="5" fillId="0" borderId="0" pivotButton="0" quotePrefix="0" xfId="0"/>
    <xf numFmtId="2" fontId="4" fillId="3" borderId="0" pivotButton="0" quotePrefix="0" xfId="0"/>
    <xf numFmtId="166" fontId="4" fillId="3" borderId="0" pivotButton="0" quotePrefix="0" xfId="0"/>
    <xf numFmtId="167" fontId="5" fillId="3" borderId="0" pivotButton="0" quotePrefix="0" xfId="0"/>
    <xf numFmtId="168" fontId="5" fillId="0" borderId="0" pivotButton="0" quotePrefix="0" xfId="0"/>
    <xf numFmtId="165" fontId="5" fillId="3" borderId="0" pivotButton="0" quotePrefix="0" xfId="0"/>
    <xf numFmtId="165" fontId="7" fillId="0" borderId="0" pivotButton="0" quotePrefix="0" xfId="0"/>
    <xf numFmtId="2" fontId="4" fillId="0" borderId="0" pivotButton="0" quotePrefix="0" xfId="0"/>
    <xf numFmtId="169" fontId="4" fillId="0" borderId="0" pivotButton="0" quotePrefix="0" xfId="0"/>
    <xf numFmtId="0" fontId="3" fillId="0" borderId="1" pivotButton="0" quotePrefix="0" xfId="0"/>
    <xf numFmtId="165" fontId="4" fillId="0" borderId="1" pivotButton="0" quotePrefix="0" xfId="0"/>
    <xf numFmtId="164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Phat Ngo</author>
  </authors>
  <commentList>
    <comment ref="C4" authorId="0" shapeId="0">
      <text>
        <t>Source: Yahoo Finance via the site price feed, close on 2026-10-16. Update to today's price.</t>
      </text>
    </comment>
    <comment ref="C5" authorId="0" shapeId="0">
      <text>
        <t>Source: 24.1bn shares outstanding at 2026-08-21 (10-Q cover) plus 95mm dilutive equity awards (Note 3). Q2 FY2027 10-Q (quarter ended 2026-07-26, filed 2026-08-26), https://www.sec.gov/Archives/edgar/data/1045810/000104581026000075/nvda-20260726.htm</t>
      </text>
    </comment>
    <comment ref="C6" authorId="0" shapeId="0">
      <text>
        <t>Source: cash $22.443bn + marketable debt securities $34.143bn at 2026-07-26. Q2 FY2027 10-Q (quarter ended 2026-07-26, filed 2026-08-26), https://www.sec.gov/Archives/edgar/data/1045810/000104581026000075/nvda-20260726.htm</t>
      </text>
    </comment>
    <comment ref="C7" authorId="0" shapeId="0">
      <text>
        <t>Source: $1.000bn short-term + $32.366bn long-term at 2026-07-26 ($33.5bn principal). Q2 FY2027 10-Q (quarter ended 2026-07-26, filed 2026-08-26), https://www.sec.gov/Archives/edgar/data/1045810/000104581026000075/nvda-20260726.htm</t>
      </text>
    </comment>
    <comment ref="C9" authorId="0" shapeId="0">
      <text>
        <t>Source: marketable equity securities $42.783bn + long-term locked-up public stakes $4.957bn (Note 5). $36.9bn is under short-term lock-up. Q2 FY2027 10-Q (quarter ended 2026-07-26, filed 2026-08-26), https://www.sec.gov/Archives/edgar/data/1045810/000104581026000075/nvda-20260726.htm</t>
      </text>
    </comment>
    <comment ref="C10" authorId="0" shapeId="0">
      <text>
        <t>Author judgment: haircut for tax on unrealized gains and lock-ups.</t>
      </text>
    </comment>
    <comment ref="C11" authorId="0" shapeId="0">
      <text>
        <t>Source: non-marketable securities line incl. ~$3.3bn equity-method infrastructure financiers (Note 6). Q2 FY2027 10-Q (quarter ended 2026-07-26, filed 2026-08-26), https://www.sec.gov/Archives/edgar/data/1045810/000104581026000075/nvda-20260726.htm</t>
      </text>
    </comment>
    <comment ref="C12" authorId="0" shapeId="0">
      <text>
        <t>Author judgment: AI-lab stakes carried at cost adjusted for observable prices; illiquid and concentrated.</t>
      </text>
    </comment>
    <comment ref="C16" authorId="0" shapeId="0">
      <text>
        <t>Author estimate for 2026-07-27 to 2027-01-31. Consensus FY2027 FCF ~$190.2bn (MarketScreener, 2026-10-16) less H1 reported $69.9bn, trimmed for the receivables build.</t>
      </text>
    </comment>
    <comment ref="C17" authorId="0" shapeId="0">
      <text>
        <t>Valuation date 2026-10-16. FY2028 (Feb 2027-Jan 2028) midpoint is 0.79 years later, so on the fiscal-label scale the date is 2028.5 - 0.79 = 2027.71.</t>
      </text>
    </comment>
    <comment ref="C18" authorId="0" shapeId="0">
      <text>
        <t>Author estimate: H1 reported $177.8bn + Q3 guide $108bn + Q4 ~$124bn. Consensus $411.7bn (StockAnalysis, 2026-10-09).</t>
      </text>
    </comment>
    <comment ref="C19" authorId="0" shapeId="0">
      <text>
        <t>Source: FY2027 GAAP and non-GAAP tax rate guidance of 16%-18% (Q2 FY27 CFO commentary).</t>
      </text>
    </comment>
    <comment ref="C20" authorId="0" shapeId="0">
      <text>
        <t>Leave at 100% for the published case. Set to the reverse-DCF value on the Valuation sheet to reproduce today's price in the base case.</t>
      </text>
    </comment>
    <comment ref="C22" authorId="0" shapeId="0">
      <text>
        <t>Source: US 10-year Treasury yield 5.10% on 2026-10-16 (Yahoo Finance ^TNX).</t>
      </text>
    </comment>
    <comment ref="C23" authorId="0" shapeId="0">
      <text>
        <t>Measured: 501 daily NVDA returns vs iShares Core S&amp;P 500 (IVV), 2024-10-16 to 2026-10-16 (1.85 vs SPY).</t>
      </text>
    </comment>
    <comment ref="C25" authorId="0" shapeId="0">
      <text>
        <t>House assumption, same as the Rivian report. Damodaran implied ERP was 4.20% on 2026-10-01 (lower ERP would raise value).</t>
      </text>
    </comment>
    <comment ref="C27" authorId="0" shapeId="0">
      <text>
        <t>Author assumption near the 10-year yield for NVIDIA's senior notes; coupons on the June 2026 issue not verified.</t>
      </text>
    </comment>
    <comment ref="C33" authorId="0" shapeId="0">
      <text>
        <t>Author judgment: below the lowest mature large-cap chip peers today (Qualcomm 16.2x, TSMC 16.2x; Texas Instruments 27.8x, Analog Devices 29.6x; StockAnalysis, 2026-10-16) for cyclicality and 2035 distance.</t>
      </text>
    </comment>
    <comment ref="C37" authorId="0" shapeId="0">
      <text>
        <t>Q2 FY27: receivables $63.1bn + inventory $31.6bn + prepaid $3.4bn - payables $15.1bn - accrued $27.0bn = $56.0bn, 14.5% of annualized revenue.</t>
      </text>
    </comment>
    <comment ref="C39" authorId="0" shapeId="0">
      <text>
        <t>Author judgment.</t>
      </text>
    </comment>
    <comment ref="C40" authorId="0" shapeId="0">
      <text>
        <t>Author judgment.</t>
      </text>
    </comment>
    <comment ref="C41" authorId="0" shapeId="0">
      <text>
        <t>Author judgment (at or below 35%).</t>
      </text>
    </comment>
    <comment ref="C42" authorId="0" shapeId="0">
      <text>
        <t>Author judgment against $108.5bn of maximum guarantees (incl. $105bn SB Energy/OpenAI) and $36bn of AI-cloud capacity backstops (10-Q Note 10).</t>
      </text>
    </comment>
    <comment ref="C43" authorId="0" shapeId="0">
      <text>
        <t>Author judgment.</t>
      </text>
    </comment>
    <comment ref="C44" authorId="0" shapeId="0">
      <text>
        <t>Author judgment.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NVIDIA (NVDA) — valuation summary</t>
        </is>
      </c>
    </row>
    <row r="2">
      <c r="A2" s="2" t="inlineStr">
        <is>
          <t>Phat Ngo · Initiation · prices as of 2026-10-16 · personal research, not investment advice</t>
        </is>
      </c>
    </row>
    <row r="4">
      <c r="A4" s="3" t="inlineStr">
        <is>
          <t>Scenario</t>
        </is>
      </c>
      <c r="B4" s="4" t="inlineStr">
        <is>
          <t>Probability</t>
        </is>
      </c>
      <c r="C4" s="4" t="inlineStr">
        <is>
          <t>Value / share</t>
        </is>
      </c>
      <c r="D4" s="4" t="inlineStr">
        <is>
          <t>vs price</t>
        </is>
      </c>
    </row>
    <row r="5">
      <c r="A5" s="5" t="inlineStr">
        <is>
          <t>Bear</t>
        </is>
      </c>
      <c r="B5" s="6">
        <f>Inputs!$C$39</f>
        <v/>
      </c>
      <c r="C5" s="7">
        <f>Model!$C$35</f>
        <v/>
      </c>
      <c r="D5" s="8">
        <f>C5/Inputs!$C$4-1</f>
        <v/>
      </c>
    </row>
    <row r="6">
      <c r="A6" s="5" t="inlineStr">
        <is>
          <t>Base</t>
        </is>
      </c>
      <c r="B6" s="6">
        <f>Inputs!$C$40</f>
        <v/>
      </c>
      <c r="C6" s="7">
        <f>Model!$C$71</f>
        <v/>
      </c>
      <c r="D6" s="8">
        <f>C6/Inputs!$C$4-1</f>
        <v/>
      </c>
    </row>
    <row r="7">
      <c r="A7" s="5" t="inlineStr">
        <is>
          <t>Bull</t>
        </is>
      </c>
      <c r="B7" s="6">
        <f>Inputs!$C$41</f>
        <v/>
      </c>
      <c r="C7" s="7">
        <f>Model!$C$107</f>
        <v/>
      </c>
      <c r="D7" s="8">
        <f>C7/Inputs!$C$4-1</f>
        <v/>
      </c>
    </row>
    <row r="9">
      <c r="A9" s="9" t="inlineStr">
        <is>
          <t>Probability-weighted fair value ($)</t>
        </is>
      </c>
      <c r="C9" s="10">
        <f>SUMPRODUCT(B5:B7,C5:C7)</f>
        <v/>
      </c>
    </row>
    <row r="10">
      <c r="A10" s="5" t="inlineStr">
        <is>
          <t>Current price ($)</t>
        </is>
      </c>
      <c r="C10" s="7">
        <f>Inputs!$C$4</f>
        <v/>
      </c>
    </row>
    <row r="11">
      <c r="A11" s="5" t="inlineStr">
        <is>
          <t>Upside to fair value</t>
        </is>
      </c>
      <c r="C11" s="8">
        <f>C9/C10-1</f>
        <v/>
      </c>
    </row>
    <row r="12">
      <c r="A12" s="5" t="inlineStr">
        <is>
          <t>Hurdle: cost of equity</t>
        </is>
      </c>
      <c r="C12" s="6">
        <f>Inputs!$C$26</f>
        <v/>
      </c>
    </row>
    <row r="13">
      <c r="A13" s="5" t="inlineStr">
        <is>
          <t>Premium required for Bullish / Bearish (pts a year)</t>
        </is>
      </c>
      <c r="C13" s="11" t="n">
        <v>0.02</v>
      </c>
    </row>
    <row r="14">
      <c r="A14" s="5" t="inlineStr">
        <is>
          <t>Expected annual return, 5-year convergence</t>
        </is>
      </c>
      <c r="C14" s="8">
        <f>(C9/C10)^(1/5)*(1+C12)-1</f>
        <v/>
      </c>
    </row>
    <row r="15">
      <c r="A15" s="5" t="inlineStr">
        <is>
          <t>Expected annual return, 3-year convergence</t>
        </is>
      </c>
      <c r="C15" s="8">
        <f>(C9/C10)^(1/3)*(1+C12)-1</f>
        <v/>
      </c>
    </row>
    <row r="16">
      <c r="A16" s="9" t="inlineStr">
        <is>
          <t>Call, 3-5 year view (longest horizon)</t>
        </is>
      </c>
      <c r="C16" s="12">
        <f>IF(((C9/C10)^(1/5)*(1+C12)-1-C12)&gt;=C13,"Bullish",IF(((C9/C10)^(1/5)*(1+C12)-1-C12)&lt;=-C13,"Bearish","Neutral"))</f>
        <v/>
      </c>
    </row>
    <row r="17">
      <c r="A17" s="5" t="inlineStr">
        <is>
          <t>Price below which the rule reads Bullish ($)</t>
        </is>
      </c>
      <c r="C17" s="13">
        <f>C9/((1+C12+C13)/(1+C12))^5</f>
        <v/>
      </c>
    </row>
    <row r="18">
      <c r="A18" s="5" t="inlineStr">
        <is>
          <t>Price above which the rule reads Bearish ($)</t>
        </is>
      </c>
      <c r="C18" s="13">
        <f>C9/((1+C12-C13)/(1+C12))^5</f>
        <v/>
      </c>
    </row>
    <row r="19">
      <c r="A19" s="5" t="inlineStr">
        <is>
          <t>Weights sum check (must be 100%)</t>
        </is>
      </c>
      <c r="C19" s="8">
        <f>SUM(B5:B7)</f>
        <v/>
      </c>
    </row>
    <row r="21">
      <c r="A21" s="9" t="inlineStr">
        <is>
          <t>Base case: value per share by WACC (rows) and FY2035 EV/EBITDA exit multiple (columns)</t>
        </is>
      </c>
    </row>
    <row r="22">
      <c r="A22" s="3" t="inlineStr">
        <is>
          <t>WACC \ exit multiple</t>
        </is>
      </c>
      <c r="B22" s="14" t="n">
        <v>9</v>
      </c>
      <c r="C22" s="14" t="n">
        <v>11</v>
      </c>
      <c r="D22" s="14" t="n">
        <v>13</v>
      </c>
      <c r="E22" s="14" t="n">
        <v>15</v>
      </c>
      <c r="F22" s="14" t="n">
        <v>17</v>
      </c>
    </row>
    <row r="23">
      <c r="A23" s="11" t="n">
        <v>0.1</v>
      </c>
      <c r="B23" s="13">
        <f>MAX(0,(SUMPRODUCT(Model!$C$57:$J$57,(1+$A23)^(-Model!$C$58:$J$58))+Inputs!$C$16+Model!$J$53*B$22*(1+$A23)^(-(Model!$J$58+0.5))+Inputs!$C$46)*1000/Inputs!$C$5)</f>
        <v/>
      </c>
      <c r="C23" s="13">
        <f>MAX(0,(SUMPRODUCT(Model!$C$57:$J$57,(1+$A23)^(-Model!$C$58:$J$58))+Inputs!$C$16+Model!$J$53*C$22*(1+$A23)^(-(Model!$J$58+0.5))+Inputs!$C$46)*1000/Inputs!$C$5)</f>
        <v/>
      </c>
      <c r="D23" s="13">
        <f>MAX(0,(SUMPRODUCT(Model!$C$57:$J$57,(1+$A23)^(-Model!$C$58:$J$58))+Inputs!$C$16+Model!$J$53*D$22*(1+$A23)^(-(Model!$J$58+0.5))+Inputs!$C$46)*1000/Inputs!$C$5)</f>
        <v/>
      </c>
      <c r="E23" s="13">
        <f>MAX(0,(SUMPRODUCT(Model!$C$57:$J$57,(1+$A23)^(-Model!$C$58:$J$58))+Inputs!$C$16+Model!$J$53*E$22*(1+$A23)^(-(Model!$J$58+0.5))+Inputs!$C$46)*1000/Inputs!$C$5)</f>
        <v/>
      </c>
      <c r="F23" s="13">
        <f>MAX(0,(SUMPRODUCT(Model!$C$57:$J$57,(1+$A23)^(-Model!$C$58:$J$58))+Inputs!$C$16+Model!$J$53*F$22*(1+$A23)^(-(Model!$J$58+0.5))+Inputs!$C$46)*1000/Inputs!$C$5)</f>
        <v/>
      </c>
    </row>
    <row r="24">
      <c r="A24" s="11" t="n">
        <v>0.11</v>
      </c>
      <c r="B24" s="13">
        <f>MAX(0,(SUMPRODUCT(Model!$C$57:$J$57,(1+$A24)^(-Model!$C$58:$J$58))+Inputs!$C$16+Model!$J$53*B$22*(1+$A24)^(-(Model!$J$58+0.5))+Inputs!$C$46)*1000/Inputs!$C$5)</f>
        <v/>
      </c>
      <c r="C24" s="13">
        <f>MAX(0,(SUMPRODUCT(Model!$C$57:$J$57,(1+$A24)^(-Model!$C$58:$J$58))+Inputs!$C$16+Model!$J$53*C$22*(1+$A24)^(-(Model!$J$58+0.5))+Inputs!$C$46)*1000/Inputs!$C$5)</f>
        <v/>
      </c>
      <c r="D24" s="13">
        <f>MAX(0,(SUMPRODUCT(Model!$C$57:$J$57,(1+$A24)^(-Model!$C$58:$J$58))+Inputs!$C$16+Model!$J$53*D$22*(1+$A24)^(-(Model!$J$58+0.5))+Inputs!$C$46)*1000/Inputs!$C$5)</f>
        <v/>
      </c>
      <c r="E24" s="13">
        <f>MAX(0,(SUMPRODUCT(Model!$C$57:$J$57,(1+$A24)^(-Model!$C$58:$J$58))+Inputs!$C$16+Model!$J$53*E$22*(1+$A24)^(-(Model!$J$58+0.5))+Inputs!$C$46)*1000/Inputs!$C$5)</f>
        <v/>
      </c>
      <c r="F24" s="13">
        <f>MAX(0,(SUMPRODUCT(Model!$C$57:$J$57,(1+$A24)^(-Model!$C$58:$J$58))+Inputs!$C$16+Model!$J$53*F$22*(1+$A24)^(-(Model!$J$58+0.5))+Inputs!$C$46)*1000/Inputs!$C$5)</f>
        <v/>
      </c>
    </row>
    <row r="25">
      <c r="A25" s="11" t="n">
        <v>0.12</v>
      </c>
      <c r="B25" s="13">
        <f>MAX(0,(SUMPRODUCT(Model!$C$57:$J$57,(1+$A25)^(-Model!$C$58:$J$58))+Inputs!$C$16+Model!$J$53*B$22*(1+$A25)^(-(Model!$J$58+0.5))+Inputs!$C$46)*1000/Inputs!$C$5)</f>
        <v/>
      </c>
      <c r="C25" s="13">
        <f>MAX(0,(SUMPRODUCT(Model!$C$57:$J$57,(1+$A25)^(-Model!$C$58:$J$58))+Inputs!$C$16+Model!$J$53*C$22*(1+$A25)^(-(Model!$J$58+0.5))+Inputs!$C$46)*1000/Inputs!$C$5)</f>
        <v/>
      </c>
      <c r="D25" s="13">
        <f>MAX(0,(SUMPRODUCT(Model!$C$57:$J$57,(1+$A25)^(-Model!$C$58:$J$58))+Inputs!$C$16+Model!$J$53*D$22*(1+$A25)^(-(Model!$J$58+0.5))+Inputs!$C$46)*1000/Inputs!$C$5)</f>
        <v/>
      </c>
      <c r="E25" s="13">
        <f>MAX(0,(SUMPRODUCT(Model!$C$57:$J$57,(1+$A25)^(-Model!$C$58:$J$58))+Inputs!$C$16+Model!$J$53*E$22*(1+$A25)^(-(Model!$J$58+0.5))+Inputs!$C$46)*1000/Inputs!$C$5)</f>
        <v/>
      </c>
      <c r="F25" s="13">
        <f>MAX(0,(SUMPRODUCT(Model!$C$57:$J$57,(1+$A25)^(-Model!$C$58:$J$58))+Inputs!$C$16+Model!$J$53*F$22*(1+$A25)^(-(Model!$J$58+0.5))+Inputs!$C$46)*1000/Inputs!$C$5)</f>
        <v/>
      </c>
    </row>
    <row r="26">
      <c r="A26" s="11" t="n">
        <v>0.131</v>
      </c>
      <c r="B26" s="13">
        <f>MAX(0,(SUMPRODUCT(Model!$C$57:$J$57,(1+$A26)^(-Model!$C$58:$J$58))+Inputs!$C$16+Model!$J$53*B$22*(1+$A26)^(-(Model!$J$58+0.5))+Inputs!$C$46)*1000/Inputs!$C$5)</f>
        <v/>
      </c>
      <c r="C26" s="13">
        <f>MAX(0,(SUMPRODUCT(Model!$C$57:$J$57,(1+$A26)^(-Model!$C$58:$J$58))+Inputs!$C$16+Model!$J$53*C$22*(1+$A26)^(-(Model!$J$58+0.5))+Inputs!$C$46)*1000/Inputs!$C$5)</f>
        <v/>
      </c>
      <c r="D26" s="13">
        <f>MAX(0,(SUMPRODUCT(Model!$C$57:$J$57,(1+$A26)^(-Model!$C$58:$J$58))+Inputs!$C$16+Model!$J$53*D$22*(1+$A26)^(-(Model!$J$58+0.5))+Inputs!$C$46)*1000/Inputs!$C$5)</f>
        <v/>
      </c>
      <c r="E26" s="13">
        <f>MAX(0,(SUMPRODUCT(Model!$C$57:$J$57,(1+$A26)^(-Model!$C$58:$J$58))+Inputs!$C$16+Model!$J$53*E$22*(1+$A26)^(-(Model!$J$58+0.5))+Inputs!$C$46)*1000/Inputs!$C$5)</f>
        <v/>
      </c>
      <c r="F26" s="13">
        <f>MAX(0,(SUMPRODUCT(Model!$C$57:$J$57,(1+$A26)^(-Model!$C$58:$J$58))+Inputs!$C$16+Model!$J$53*F$22*(1+$A26)^(-(Model!$J$58+0.5))+Inputs!$C$46)*1000/Inputs!$C$5)</f>
        <v/>
      </c>
    </row>
    <row r="27">
      <c r="A27" s="11" t="n">
        <v>0.14</v>
      </c>
      <c r="B27" s="13">
        <f>MAX(0,(SUMPRODUCT(Model!$C$57:$J$57,(1+$A27)^(-Model!$C$58:$J$58))+Inputs!$C$16+Model!$J$53*B$22*(1+$A27)^(-(Model!$J$58+0.5))+Inputs!$C$46)*1000/Inputs!$C$5)</f>
        <v/>
      </c>
      <c r="C27" s="13">
        <f>MAX(0,(SUMPRODUCT(Model!$C$57:$J$57,(1+$A27)^(-Model!$C$58:$J$58))+Inputs!$C$16+Model!$J$53*C$22*(1+$A27)^(-(Model!$J$58+0.5))+Inputs!$C$46)*1000/Inputs!$C$5)</f>
        <v/>
      </c>
      <c r="D27" s="13">
        <f>MAX(0,(SUMPRODUCT(Model!$C$57:$J$57,(1+$A27)^(-Model!$C$58:$J$58))+Inputs!$C$16+Model!$J$53*D$22*(1+$A27)^(-(Model!$J$58+0.5))+Inputs!$C$46)*1000/Inputs!$C$5)</f>
        <v/>
      </c>
      <c r="E27" s="13">
        <f>MAX(0,(SUMPRODUCT(Model!$C$57:$J$57,(1+$A27)^(-Model!$C$58:$J$58))+Inputs!$C$16+Model!$J$53*E$22*(1+$A27)^(-(Model!$J$58+0.5))+Inputs!$C$46)*1000/Inputs!$C$5)</f>
        <v/>
      </c>
      <c r="F27" s="13">
        <f>MAX(0,(SUMPRODUCT(Model!$C$57:$J$57,(1+$A27)^(-Model!$C$58:$J$58))+Inputs!$C$16+Model!$J$53*F$22*(1+$A27)^(-(Model!$J$58+0.5))+Inputs!$C$46)*1000/Inputs!$C$5)</f>
        <v/>
      </c>
    </row>
    <row r="28">
      <c r="A28" s="11" t="n">
        <v>0.15</v>
      </c>
      <c r="B28" s="13">
        <f>MAX(0,(SUMPRODUCT(Model!$C$57:$J$57,(1+$A28)^(-Model!$C$58:$J$58))+Inputs!$C$16+Model!$J$53*B$22*(1+$A28)^(-(Model!$J$58+0.5))+Inputs!$C$46)*1000/Inputs!$C$5)</f>
        <v/>
      </c>
      <c r="C28" s="13">
        <f>MAX(0,(SUMPRODUCT(Model!$C$57:$J$57,(1+$A28)^(-Model!$C$58:$J$58))+Inputs!$C$16+Model!$J$53*C$22*(1+$A28)^(-(Model!$J$58+0.5))+Inputs!$C$46)*1000/Inputs!$C$5)</f>
        <v/>
      </c>
      <c r="D28" s="13">
        <f>MAX(0,(SUMPRODUCT(Model!$C$57:$J$57,(1+$A28)^(-Model!$C$58:$J$58))+Inputs!$C$16+Model!$J$53*D$22*(1+$A28)^(-(Model!$J$58+0.5))+Inputs!$C$46)*1000/Inputs!$C$5)</f>
        <v/>
      </c>
      <c r="E28" s="13">
        <f>MAX(0,(SUMPRODUCT(Model!$C$57:$J$57,(1+$A28)^(-Model!$C$58:$J$58))+Inputs!$C$16+Model!$J$53*E$22*(1+$A28)^(-(Model!$J$58+0.5))+Inputs!$C$46)*1000/Inputs!$C$5)</f>
        <v/>
      </c>
      <c r="F28" s="13">
        <f>MAX(0,(SUMPRODUCT(Model!$C$57:$J$57,(1+$A28)^(-Model!$C$58:$J$58))+Inputs!$C$16+Model!$J$53*F$22*(1+$A28)^(-(Model!$J$58+0.5))+Inputs!$C$46)*1000/Inputs!$C$5)</f>
        <v/>
      </c>
    </row>
    <row r="30">
      <c r="A30" s="9" t="inlineStr">
        <is>
          <t>Reverse DCF (solved in the JS engine; enter on Inputs C20 to check)</t>
        </is>
      </c>
    </row>
    <row r="31">
      <c r="A31" s="5" t="inlineStr">
        <is>
          <t>Base-case Data Center revenue scale that equals the price</t>
        </is>
      </c>
      <c r="C31" s="11" t="n">
        <v>0.8434</v>
      </c>
    </row>
    <row r="32">
      <c r="A32" s="5" t="inlineStr">
        <is>
          <t>Same, all three scenarios scaled together</t>
        </is>
      </c>
      <c r="C32" s="11" t="n">
        <v>0.8937</v>
      </c>
    </row>
    <row r="34">
      <c r="A34" s="9" t="inlineStr">
        <is>
          <t>Comparable trading multiples, 2026-10-16 (context, not inputs)</t>
        </is>
      </c>
    </row>
    <row r="35">
      <c r="A35" s="3" t="inlineStr">
        <is>
          <t>Company</t>
        </is>
      </c>
      <c r="B35" s="4" t="inlineStr">
        <is>
          <t>EV / sales, next FY</t>
        </is>
      </c>
      <c r="C35" s="4" t="inlineStr">
        <is>
          <t>EV / EBITDA, TTM</t>
        </is>
      </c>
      <c r="D35" s="4" t="inlineStr">
        <is>
          <t>Forward P/E</t>
        </is>
      </c>
      <c r="E35" s="4" t="inlineStr">
        <is>
          <t>Source</t>
        </is>
      </c>
    </row>
    <row r="36">
      <c r="A36" s="5" t="inlineStr">
        <is>
          <t>Broadcom (AVGO)</t>
        </is>
      </c>
      <c r="B36" s="15" t="n">
        <v>9.300000000000001</v>
      </c>
      <c r="C36" s="15" t="n">
        <v>31.4</v>
      </c>
      <c r="D36" s="15" t="n">
        <v>19</v>
      </c>
      <c r="E36" s="2" t="inlineStr">
        <is>
          <t>StockAnalysis statistics and forecast pages</t>
        </is>
      </c>
    </row>
    <row r="37">
      <c r="A37" s="5" t="inlineStr">
        <is>
          <t>AMD (AMD)</t>
        </is>
      </c>
      <c r="B37" s="15" t="n">
        <v>9.6</v>
      </c>
      <c r="C37" s="15" t="n">
        <v>92.09999999999999</v>
      </c>
      <c r="D37" s="15" t="n">
        <v>50.6</v>
      </c>
      <c r="E37" s="2" t="inlineStr">
        <is>
          <t>StockAnalysis statistics and forecast pages</t>
        </is>
      </c>
    </row>
    <row r="38">
      <c r="A38" s="5" t="inlineStr">
        <is>
          <t>TSMC (TSM)</t>
        </is>
      </c>
      <c r="B38" s="16" t="inlineStr">
        <is>
          <t>n/a</t>
        </is>
      </c>
      <c r="C38" s="15" t="n">
        <v>16.2</v>
      </c>
      <c r="D38" s="15" t="n">
        <v>18.8</v>
      </c>
      <c r="E38" s="2" t="inlineStr">
        <is>
          <t>StockAnalysis statistics and forecast pages</t>
        </is>
      </c>
    </row>
    <row r="39">
      <c r="A39" s="5" t="inlineStr">
        <is>
          <t>Marvell (MRVL)</t>
        </is>
      </c>
      <c r="B39" s="15" t="n">
        <v>10.2</v>
      </c>
      <c r="C39" s="15" t="n">
        <v>71.8</v>
      </c>
      <c r="D39" s="15" t="n">
        <v>40.5</v>
      </c>
      <c r="E39" s="2" t="inlineStr">
        <is>
          <t>StockAnalysis statistics and forecast pages</t>
        </is>
      </c>
    </row>
    <row r="40">
      <c r="A40" s="5" t="inlineStr">
        <is>
          <t>Arm (ARM)</t>
        </is>
      </c>
      <c r="B40" s="15" t="n">
        <v>29.1</v>
      </c>
      <c r="C40" s="15" t="n">
        <v>233.3</v>
      </c>
      <c r="D40" s="15" t="n">
        <v>102.6</v>
      </c>
      <c r="E40" s="2" t="inlineStr">
        <is>
          <t>StockAnalysis statistics and forecast pages</t>
        </is>
      </c>
    </row>
    <row r="41">
      <c r="A41" s="5" t="inlineStr">
        <is>
          <t>Micron (MU)</t>
        </is>
      </c>
      <c r="B41" s="15" t="n">
        <v>3.4</v>
      </c>
      <c r="C41" s="15" t="n">
        <v>8.6</v>
      </c>
      <c r="D41" s="15" t="n">
        <v>5.3</v>
      </c>
      <c r="E41" s="2" t="inlineStr">
        <is>
          <t>StockAnalysis statistics and forecast pages</t>
        </is>
      </c>
    </row>
    <row r="42">
      <c r="A42" s="5" t="inlineStr">
        <is>
          <t>Qualcomm (QCOM)</t>
        </is>
      </c>
      <c r="B42" s="16" t="inlineStr">
        <is>
          <t>n/a</t>
        </is>
      </c>
      <c r="C42" s="15" t="n">
        <v>16.2</v>
      </c>
      <c r="D42" s="15" t="n">
        <v>18.7</v>
      </c>
      <c r="E42" s="2" t="inlineStr">
        <is>
          <t>StockAnalysis statistics and forecast pages</t>
        </is>
      </c>
    </row>
    <row r="43">
      <c r="A43" s="9" t="inlineStr">
        <is>
          <t>NVIDIA (NVDA), at the current price, FY2028E sales</t>
        </is>
      </c>
      <c r="B43" s="17">
        <f>Inputs!$C$15/Model!$C$44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4" customWidth="1" min="3" max="3"/>
  </cols>
  <sheetData>
    <row r="1">
      <c r="A1" s="1" t="inlineStr">
        <is>
          <t>NVIDIA (NVDA) — inputs</t>
        </is>
      </c>
    </row>
    <row r="2">
      <c r="A2" s="2" t="inlineStr">
        <is>
          <t>Blue = hardcoded input (change these). Black = formula. Green = link from another sheet. Yellow = key judgment call. USD billions unless noted.</t>
        </is>
      </c>
    </row>
    <row r="3">
      <c r="A3" s="18" t="inlineStr">
        <is>
          <t>Market</t>
        </is>
      </c>
      <c r="C3" s="19" t="n"/>
    </row>
    <row r="4">
      <c r="A4" s="5" t="inlineStr">
        <is>
          <t>Share price ($)</t>
        </is>
      </c>
      <c r="C4" s="20" t="n">
        <v>214.13</v>
      </c>
    </row>
    <row r="5">
      <c r="A5" s="5" t="inlineStr">
        <is>
          <t>Diluted shares (mm)</t>
        </is>
      </c>
      <c r="C5" s="21" t="n">
        <v>24195</v>
      </c>
    </row>
    <row r="6">
      <c r="A6" s="5" t="inlineStr">
        <is>
          <t>Cash + marketable debt securities</t>
        </is>
      </c>
      <c r="C6" s="22" t="n">
        <v>56.586</v>
      </c>
    </row>
    <row r="7">
      <c r="A7" s="5" t="inlineStr">
        <is>
          <t>Debt (carrying value)</t>
        </is>
      </c>
      <c r="C7" s="22" t="n">
        <v>33.366</v>
      </c>
    </row>
    <row r="8">
      <c r="A8" s="5" t="inlineStr">
        <is>
          <t>Net cash</t>
        </is>
      </c>
      <c r="C8" s="23">
        <f>C6-C7</f>
        <v/>
      </c>
    </row>
    <row r="9">
      <c r="A9" s="5" t="inlineStr">
        <is>
          <t>Listed equity stakes</t>
        </is>
      </c>
      <c r="C9" s="22" t="n">
        <v>47.74</v>
      </c>
    </row>
    <row r="10">
      <c r="A10" s="5" t="inlineStr">
        <is>
          <t>Listed stakes: value kept</t>
        </is>
      </c>
      <c r="C10" s="24" t="n">
        <v>0.85</v>
      </c>
    </row>
    <row r="11">
      <c r="A11" s="5" t="inlineStr">
        <is>
          <t>Private equity stakes</t>
        </is>
      </c>
      <c r="C11" s="22" t="n">
        <v>51.157</v>
      </c>
    </row>
    <row r="12">
      <c r="A12" s="5" t="inlineStr">
        <is>
          <t>Private stakes: value kept</t>
        </is>
      </c>
      <c r="C12" s="24" t="n">
        <v>0.5</v>
      </c>
    </row>
    <row r="13">
      <c r="A13" s="5" t="inlineStr">
        <is>
          <t>Investments after haircuts</t>
        </is>
      </c>
      <c r="C13" s="23">
        <f>C9*C10+C11*C12</f>
        <v/>
      </c>
    </row>
    <row r="14">
      <c r="A14" s="5" t="inlineStr">
        <is>
          <t>Market capitalization</t>
        </is>
      </c>
      <c r="C14" s="23">
        <f>C4*C5/1000</f>
        <v/>
      </c>
    </row>
    <row r="15">
      <c r="A15" s="5" t="inlineStr">
        <is>
          <t>Enterprise value (ex investments)</t>
        </is>
      </c>
      <c r="C15" s="23">
        <f>C14-C8</f>
        <v/>
      </c>
    </row>
    <row r="16">
      <c r="A16" s="5" t="inlineStr">
        <is>
          <t>H2 FY2027 unlevered FCF, estimate</t>
        </is>
      </c>
      <c r="C16" s="22" t="n">
        <v>115</v>
      </c>
    </row>
    <row r="17">
      <c r="A17" s="5" t="inlineStr">
        <is>
          <t>Valuation date (fiscal-label scale)</t>
        </is>
      </c>
      <c r="C17" s="25" t="n">
        <v>2027.71</v>
      </c>
    </row>
    <row r="18">
      <c r="A18" s="5" t="inlineStr">
        <is>
          <t>FY2027E revenue</t>
        </is>
      </c>
      <c r="C18" s="22" t="n">
        <v>410</v>
      </c>
    </row>
    <row r="19">
      <c r="A19" s="5" t="inlineStr">
        <is>
          <t>Cash tax rate</t>
        </is>
      </c>
      <c r="C19" s="11" t="n">
        <v>0.17</v>
      </c>
    </row>
    <row r="20">
      <c r="A20" s="5" t="inlineStr">
        <is>
          <t>Data Center revenue scale (reverse-DCF lever)</t>
        </is>
      </c>
      <c r="C20" s="11" t="n">
        <v>1</v>
      </c>
    </row>
    <row r="21">
      <c r="A21" s="18" t="inlineStr">
        <is>
          <t>Discount rate</t>
        </is>
      </c>
      <c r="C21" s="19" t="n"/>
    </row>
    <row r="22">
      <c r="A22" s="5" t="inlineStr">
        <is>
          <t>Risk-free rate</t>
        </is>
      </c>
      <c r="C22" s="11" t="n">
        <v>0.051</v>
      </c>
    </row>
    <row r="23">
      <c r="A23" s="5" t="inlineStr">
        <is>
          <t>Beta, measured (2y daily vs IVV)</t>
        </is>
      </c>
      <c r="C23" s="25" t="n">
        <v>1.91</v>
      </c>
    </row>
    <row r="24">
      <c r="A24" s="5" t="inlineStr">
        <is>
          <t>Beta, Blume-adjusted</t>
        </is>
      </c>
      <c r="C24" s="26">
        <f>ROUND(0.67*C23+0.33,2)</f>
        <v/>
      </c>
    </row>
    <row r="25">
      <c r="A25" s="5" t="inlineStr">
        <is>
          <t>Equity risk premium</t>
        </is>
      </c>
      <c r="C25" s="11" t="n">
        <v>0.05</v>
      </c>
    </row>
    <row r="26">
      <c r="A26" s="5" t="inlineStr">
        <is>
          <t>Cost of equity</t>
        </is>
      </c>
      <c r="C26" s="8">
        <f>C22+C24*C25</f>
        <v/>
      </c>
    </row>
    <row r="27">
      <c r="A27" s="5" t="inlineStr">
        <is>
          <t>Pre-tax cost of debt</t>
        </is>
      </c>
      <c r="C27" s="11" t="n">
        <v>0.05</v>
      </c>
    </row>
    <row r="28">
      <c r="A28" s="5" t="inlineStr">
        <is>
          <t>After-tax cost of debt</t>
        </is>
      </c>
      <c r="C28" s="8">
        <f>C27*(1-C19)</f>
        <v/>
      </c>
    </row>
    <row r="29">
      <c r="A29" s="5" t="inlineStr">
        <is>
          <t>Equity weight</t>
        </is>
      </c>
      <c r="C29" s="8">
        <f>C14/(C14+C7)</f>
        <v/>
      </c>
    </row>
    <row r="30">
      <c r="A30" s="5" t="inlineStr">
        <is>
          <t>WACC (computed)</t>
        </is>
      </c>
      <c r="C30" s="8">
        <f>C29*C26+(1-C29)*C28</f>
        <v/>
      </c>
    </row>
    <row r="31">
      <c r="A31" s="5" t="inlineStr">
        <is>
          <t>WACC used</t>
        </is>
      </c>
      <c r="C31" s="27">
        <f>ROUND(C30,3)</f>
        <v/>
      </c>
    </row>
    <row r="32">
      <c r="A32" s="18" t="inlineStr">
        <is>
          <t>Terminal value</t>
        </is>
      </c>
      <c r="C32" s="19" t="n"/>
    </row>
    <row r="33">
      <c r="A33" s="5" t="inlineStr">
        <is>
          <t>Exit multiple, EV/EBITDA (FY2035)</t>
        </is>
      </c>
      <c r="C33" s="28" t="n">
        <v>13</v>
      </c>
    </row>
    <row r="34">
      <c r="A34" s="5" t="inlineStr">
        <is>
          <t>Perpetual growth (cross-check)</t>
        </is>
      </c>
      <c r="C34" s="11" t="n">
        <v>0.03</v>
      </c>
    </row>
    <row r="35">
      <c r="A35" s="5" t="inlineStr">
        <is>
          <t>Terminal tax rate</t>
        </is>
      </c>
      <c r="C35" s="11" t="n">
        <v>0.18</v>
      </c>
    </row>
    <row r="36">
      <c r="A36" s="5" t="inlineStr">
        <is>
          <t>Terminal capex / D&amp;A</t>
        </is>
      </c>
      <c r="C36" s="29" t="n">
        <v>1.2</v>
      </c>
    </row>
    <row r="37">
      <c r="A37" s="5" t="inlineStr">
        <is>
          <t>Net working capital, % of revenue change</t>
        </is>
      </c>
      <c r="C37" s="11" t="n">
        <v>0.15</v>
      </c>
    </row>
    <row r="38">
      <c r="A38" s="18" t="inlineStr">
        <is>
          <t>Scenario weights and contingent costs</t>
        </is>
      </c>
      <c r="C38" s="19" t="n"/>
    </row>
    <row r="39">
      <c r="A39" s="5" t="inlineStr">
        <is>
          <t>Bear probability</t>
        </is>
      </c>
      <c r="C39" s="24" t="n">
        <v>0.25</v>
      </c>
    </row>
    <row r="40">
      <c r="A40" s="5" t="inlineStr">
        <is>
          <t>Base probability</t>
        </is>
      </c>
      <c r="C40" s="24" t="n">
        <v>0.45</v>
      </c>
    </row>
    <row r="41">
      <c r="A41" s="5" t="inlineStr">
        <is>
          <t>Bull probability</t>
        </is>
      </c>
      <c r="C41" s="24" t="n">
        <v>0.3</v>
      </c>
    </row>
    <row r="42">
      <c r="A42" s="5" t="inlineStr">
        <is>
          <t>Bear: guarantee and backstop losses</t>
        </is>
      </c>
      <c r="C42" s="30" t="n">
        <v>-35</v>
      </c>
    </row>
    <row r="43">
      <c r="A43" s="5" t="inlineStr">
        <is>
          <t>Base: guarantee and backstop losses</t>
        </is>
      </c>
      <c r="C43" s="22" t="n">
        <v>-8</v>
      </c>
    </row>
    <row r="44">
      <c r="A44" s="5" t="inlineStr">
        <is>
          <t>Bull: guarantee and backstop losses</t>
        </is>
      </c>
      <c r="C44" s="22" t="n">
        <v>0</v>
      </c>
    </row>
    <row r="45">
      <c r="A45" s="5" t="inlineStr">
        <is>
          <t>Bear: net cash + investments + contingent</t>
        </is>
      </c>
      <c r="C45" s="23">
        <f>C8+C13+C42</f>
        <v/>
      </c>
    </row>
    <row r="46">
      <c r="A46" s="5" t="inlineStr">
        <is>
          <t>Base: net cash + investments + contingent</t>
        </is>
      </c>
      <c r="C46" s="23">
        <f>C8+C13+C43</f>
        <v/>
      </c>
    </row>
    <row r="47">
      <c r="A47" s="5" t="inlineStr">
        <is>
          <t>Bull: net cash + investments + contingent</t>
        </is>
      </c>
      <c r="C47" s="23">
        <f>C8+C13+C44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Scenario drivers, FY2028-FY2035 (author estimates; fiscal years end late January)</t>
        </is>
      </c>
    </row>
    <row r="2">
      <c r="A2" s="2" t="inlineStr">
        <is>
          <t>Edit the blue cells. Each block feeds the matching block on the Model sheet.</t>
        </is>
      </c>
    </row>
    <row r="4">
      <c r="A4" s="9" t="inlineStr">
        <is>
          <t>Bear case</t>
        </is>
      </c>
    </row>
    <row r="5">
      <c r="A5" s="2" t="inlineStr">
        <is>
          <t>Customers built ahead of their revenue. Fiscal 2028 still grows, then AI data center spending falls by a quarter as hyperscalers and AI labs digest capacity and refinance. Custom chips take the inference market, gross margin settles near 60%, and NVIDIA pays out on part of its guarantees and capacity backstops.</t>
        </is>
      </c>
    </row>
    <row r="6">
      <c r="A6" s="3" t="inlineStr">
        <is>
          <t>Driver</t>
        </is>
      </c>
      <c r="B6" s="4" t="inlineStr">
        <is>
          <t>FY2028</t>
        </is>
      </c>
      <c r="C6" s="4" t="inlineStr">
        <is>
          <t>FY2029</t>
        </is>
      </c>
      <c r="D6" s="4" t="inlineStr">
        <is>
          <t>FY2030</t>
        </is>
      </c>
      <c r="E6" s="4" t="inlineStr">
        <is>
          <t>FY2031</t>
        </is>
      </c>
      <c r="F6" s="4" t="inlineStr">
        <is>
          <t>FY2032</t>
        </is>
      </c>
      <c r="G6" s="4" t="inlineStr">
        <is>
          <t>FY2033</t>
        </is>
      </c>
      <c r="H6" s="4" t="inlineStr">
        <is>
          <t>FY2034</t>
        </is>
      </c>
      <c r="I6" s="4" t="inlineStr">
        <is>
          <t>FY2035</t>
        </is>
      </c>
    </row>
    <row r="7">
      <c r="A7" s="5" t="inlineStr">
        <is>
          <t>Data Center revenue ($bn)</t>
        </is>
      </c>
      <c r="B7" s="22" t="n">
        <v>560</v>
      </c>
      <c r="C7" s="22" t="n">
        <v>420</v>
      </c>
      <c r="D7" s="22" t="n">
        <v>380</v>
      </c>
      <c r="E7" s="22" t="n">
        <v>390</v>
      </c>
      <c r="F7" s="22" t="n">
        <v>405</v>
      </c>
      <c r="G7" s="22" t="n">
        <v>420</v>
      </c>
      <c r="H7" s="22" t="n">
        <v>435</v>
      </c>
      <c r="I7" s="22" t="n">
        <v>450</v>
      </c>
    </row>
    <row r="8">
      <c r="A8" s="5" t="inlineStr">
        <is>
          <t>Edge Computing revenue ($bn)</t>
        </is>
      </c>
      <c r="B8" s="22" t="n">
        <v>30</v>
      </c>
      <c r="C8" s="22" t="n">
        <v>31</v>
      </c>
      <c r="D8" s="22" t="n">
        <v>33</v>
      </c>
      <c r="E8" s="22" t="n">
        <v>35</v>
      </c>
      <c r="F8" s="22" t="n">
        <v>37</v>
      </c>
      <c r="G8" s="22" t="n">
        <v>39</v>
      </c>
      <c r="H8" s="22" t="n">
        <v>41</v>
      </c>
      <c r="I8" s="22" t="n">
        <v>43</v>
      </c>
    </row>
    <row r="9">
      <c r="A9" s="5" t="inlineStr">
        <is>
          <t>Gross margin</t>
        </is>
      </c>
      <c r="B9" s="11" t="n">
        <v>0.7</v>
      </c>
      <c r="C9" s="11" t="n">
        <v>0.64</v>
      </c>
      <c r="D9" s="11" t="n">
        <v>0.62</v>
      </c>
      <c r="E9" s="11" t="n">
        <v>0.61</v>
      </c>
      <c r="F9" s="11" t="n">
        <v>0.6</v>
      </c>
      <c r="G9" s="11" t="n">
        <v>0.6</v>
      </c>
      <c r="H9" s="11" t="n">
        <v>0.6</v>
      </c>
      <c r="I9" s="11" t="n">
        <v>0.6</v>
      </c>
    </row>
    <row r="10">
      <c r="A10" s="5" t="inlineStr">
        <is>
          <t>Operating expenses incl. SBC ($bn)</t>
        </is>
      </c>
      <c r="B10" s="22" t="n">
        <v>45</v>
      </c>
      <c r="C10" s="22" t="n">
        <v>47</v>
      </c>
      <c r="D10" s="22" t="n">
        <v>48</v>
      </c>
      <c r="E10" s="22" t="n">
        <v>50</v>
      </c>
      <c r="F10" s="22" t="n">
        <v>52</v>
      </c>
      <c r="G10" s="22" t="n">
        <v>54</v>
      </c>
      <c r="H10" s="22" t="n">
        <v>56</v>
      </c>
      <c r="I10" s="22" t="n">
        <v>58</v>
      </c>
    </row>
    <row r="11">
      <c r="A11" s="5" t="inlineStr">
        <is>
          <t>Depreciation &amp; amortization, % of revenue</t>
        </is>
      </c>
      <c r="B11" s="11" t="n">
        <v>0.013</v>
      </c>
      <c r="C11" s="11" t="n">
        <v>0.014</v>
      </c>
      <c r="D11" s="11" t="n">
        <v>0.015</v>
      </c>
      <c r="E11" s="11" t="n">
        <v>0.016</v>
      </c>
      <c r="F11" s="11" t="n">
        <v>0.017</v>
      </c>
      <c r="G11" s="11" t="n">
        <v>0.018</v>
      </c>
      <c r="H11" s="11" t="n">
        <v>0.019</v>
      </c>
      <c r="I11" s="11" t="n">
        <v>0.02</v>
      </c>
    </row>
    <row r="12">
      <c r="A12" s="5" t="inlineStr">
        <is>
          <t>Capital expenditures, % of revenue</t>
        </is>
      </c>
      <c r="B12" s="11" t="n">
        <v>0.028</v>
      </c>
      <c r="C12" s="11" t="n">
        <v>0.0285</v>
      </c>
      <c r="D12" s="11" t="n">
        <v>0.029</v>
      </c>
      <c r="E12" s="11" t="n">
        <v>0.0295</v>
      </c>
      <c r="F12" s="11" t="n">
        <v>0.03</v>
      </c>
      <c r="G12" s="11" t="n">
        <v>0.0305</v>
      </c>
      <c r="H12" s="11" t="n">
        <v>0.031</v>
      </c>
      <c r="I12" s="11" t="n">
        <v>0.0315</v>
      </c>
    </row>
    <row r="15">
      <c r="A15" s="9" t="inlineStr">
        <is>
          <t>Base case</t>
        </is>
      </c>
    </row>
    <row r="16">
      <c r="A16" s="2" t="inlineStr">
        <is>
          <t>Revenue follows the Street through fiscal 2029 (about $692B, then $905B), which sits just under management’s preliminary 70% growth for fiscal 2028. Growth then slows to 4-5% a year as the buildout matures. Gross margin drifts from 72.5% to 68% as custom chips and memory costs bite, and operating margin fades from 66% to about 60%.</t>
        </is>
      </c>
    </row>
    <row r="17">
      <c r="A17" s="3" t="inlineStr">
        <is>
          <t>Driver</t>
        </is>
      </c>
      <c r="B17" s="4" t="inlineStr">
        <is>
          <t>FY2028</t>
        </is>
      </c>
      <c r="C17" s="4" t="inlineStr">
        <is>
          <t>FY2029</t>
        </is>
      </c>
      <c r="D17" s="4" t="inlineStr">
        <is>
          <t>FY2030</t>
        </is>
      </c>
      <c r="E17" s="4" t="inlineStr">
        <is>
          <t>FY2031</t>
        </is>
      </c>
      <c r="F17" s="4" t="inlineStr">
        <is>
          <t>FY2032</t>
        </is>
      </c>
      <c r="G17" s="4" t="inlineStr">
        <is>
          <t>FY2033</t>
        </is>
      </c>
      <c r="H17" s="4" t="inlineStr">
        <is>
          <t>FY2034</t>
        </is>
      </c>
      <c r="I17" s="4" t="inlineStr">
        <is>
          <t>FY2035</t>
        </is>
      </c>
    </row>
    <row r="18">
      <c r="A18" s="5" t="inlineStr">
        <is>
          <t>Data Center revenue ($bn)</t>
        </is>
      </c>
      <c r="B18" s="22" t="n">
        <v>660</v>
      </c>
      <c r="C18" s="22" t="n">
        <v>870</v>
      </c>
      <c r="D18" s="22" t="n">
        <v>950</v>
      </c>
      <c r="E18" s="22" t="n">
        <v>995</v>
      </c>
      <c r="F18" s="22" t="n">
        <v>1040</v>
      </c>
      <c r="G18" s="22" t="n">
        <v>1085</v>
      </c>
      <c r="H18" s="22" t="n">
        <v>1130</v>
      </c>
      <c r="I18" s="22" t="n">
        <v>1175</v>
      </c>
    </row>
    <row r="19">
      <c r="A19" s="5" t="inlineStr">
        <is>
          <t>Edge Computing revenue ($bn)</t>
        </is>
      </c>
      <c r="B19" s="22" t="n">
        <v>32</v>
      </c>
      <c r="C19" s="22" t="n">
        <v>35</v>
      </c>
      <c r="D19" s="22" t="n">
        <v>38</v>
      </c>
      <c r="E19" s="22" t="n">
        <v>41</v>
      </c>
      <c r="F19" s="22" t="n">
        <v>44</v>
      </c>
      <c r="G19" s="22" t="n">
        <v>47</v>
      </c>
      <c r="H19" s="22" t="n">
        <v>51</v>
      </c>
      <c r="I19" s="22" t="n">
        <v>55</v>
      </c>
    </row>
    <row r="20">
      <c r="A20" s="5" t="inlineStr">
        <is>
          <t>Gross margin</t>
        </is>
      </c>
      <c r="B20" s="11" t="n">
        <v>0.725</v>
      </c>
      <c r="C20" s="11" t="n">
        <v>0.715</v>
      </c>
      <c r="D20" s="11" t="n">
        <v>0.705</v>
      </c>
      <c r="E20" s="11" t="n">
        <v>0.7</v>
      </c>
      <c r="F20" s="11" t="n">
        <v>0.6899999999999999</v>
      </c>
      <c r="G20" s="11" t="n">
        <v>0.68</v>
      </c>
      <c r="H20" s="11" t="n">
        <v>0.68</v>
      </c>
      <c r="I20" s="11" t="n">
        <v>0.68</v>
      </c>
    </row>
    <row r="21">
      <c r="A21" s="5" t="inlineStr">
        <is>
          <t>Operating expenses incl. SBC ($bn)</t>
        </is>
      </c>
      <c r="B21" s="22" t="n">
        <v>46</v>
      </c>
      <c r="C21" s="22" t="n">
        <v>56</v>
      </c>
      <c r="D21" s="22" t="n">
        <v>63</v>
      </c>
      <c r="E21" s="22" t="n">
        <v>69</v>
      </c>
      <c r="F21" s="22" t="n">
        <v>75</v>
      </c>
      <c r="G21" s="22" t="n">
        <v>81</v>
      </c>
      <c r="H21" s="22" t="n">
        <v>87</v>
      </c>
      <c r="I21" s="22" t="n">
        <v>93</v>
      </c>
    </row>
    <row r="22">
      <c r="A22" s="5" t="inlineStr">
        <is>
          <t>Depreciation &amp; amortization, % of revenue</t>
        </is>
      </c>
      <c r="B22" s="11" t="n">
        <v>0.013</v>
      </c>
      <c r="C22" s="11" t="n">
        <v>0.014</v>
      </c>
      <c r="D22" s="11" t="n">
        <v>0.015</v>
      </c>
      <c r="E22" s="11" t="n">
        <v>0.016</v>
      </c>
      <c r="F22" s="11" t="n">
        <v>0.017</v>
      </c>
      <c r="G22" s="11" t="n">
        <v>0.018</v>
      </c>
      <c r="H22" s="11" t="n">
        <v>0.019</v>
      </c>
      <c r="I22" s="11" t="n">
        <v>0.02</v>
      </c>
    </row>
    <row r="23">
      <c r="A23" s="5" t="inlineStr">
        <is>
          <t>Capital expenditures, % of revenue</t>
        </is>
      </c>
      <c r="B23" s="11" t="n">
        <v>0.028</v>
      </c>
      <c r="C23" s="11" t="n">
        <v>0.0285</v>
      </c>
      <c r="D23" s="11" t="n">
        <v>0.029</v>
      </c>
      <c r="E23" s="11" t="n">
        <v>0.0295</v>
      </c>
      <c r="F23" s="11" t="n">
        <v>0.03</v>
      </c>
      <c r="G23" s="11" t="n">
        <v>0.0305</v>
      </c>
      <c r="H23" s="11" t="n">
        <v>0.031</v>
      </c>
      <c r="I23" s="11" t="n">
        <v>0.0315</v>
      </c>
    </row>
    <row r="26">
      <c r="A26" s="9" t="inlineStr">
        <is>
          <t>Bull case</t>
        </is>
      </c>
    </row>
    <row r="27">
      <c r="A27" s="2" t="inlineStr">
        <is>
          <t>Supply, not demand, stays the limit. Fiscal 2028 beats the 70% outlook, Vera Rubin and its successors keep NVIDIA at roughly 40% of a data center spending market that Dell’Oro sees passing $3 trillion by 2030, and gross margin holds near 70% because the full system (chips, networking, software) keeps its premium.</t>
        </is>
      </c>
    </row>
    <row r="28">
      <c r="A28" s="3" t="inlineStr">
        <is>
          <t>Driver</t>
        </is>
      </c>
      <c r="B28" s="4" t="inlineStr">
        <is>
          <t>FY2028</t>
        </is>
      </c>
      <c r="C28" s="4" t="inlineStr">
        <is>
          <t>FY2029</t>
        </is>
      </c>
      <c r="D28" s="4" t="inlineStr">
        <is>
          <t>FY2030</t>
        </is>
      </c>
      <c r="E28" s="4" t="inlineStr">
        <is>
          <t>FY2031</t>
        </is>
      </c>
      <c r="F28" s="4" t="inlineStr">
        <is>
          <t>FY2032</t>
        </is>
      </c>
      <c r="G28" s="4" t="inlineStr">
        <is>
          <t>FY2033</t>
        </is>
      </c>
      <c r="H28" s="4" t="inlineStr">
        <is>
          <t>FY2034</t>
        </is>
      </c>
      <c r="I28" s="4" t="inlineStr">
        <is>
          <t>FY2035</t>
        </is>
      </c>
    </row>
    <row r="29">
      <c r="A29" s="5" t="inlineStr">
        <is>
          <t>Data Center revenue ($bn)</t>
        </is>
      </c>
      <c r="B29" s="22" t="n">
        <v>700</v>
      </c>
      <c r="C29" s="22" t="n">
        <v>950</v>
      </c>
      <c r="D29" s="22" t="n">
        <v>1120</v>
      </c>
      <c r="E29" s="22" t="n">
        <v>1250</v>
      </c>
      <c r="F29" s="22" t="n">
        <v>1350</v>
      </c>
      <c r="G29" s="22" t="n">
        <v>1440</v>
      </c>
      <c r="H29" s="22" t="n">
        <v>1520</v>
      </c>
      <c r="I29" s="22" t="n">
        <v>1600</v>
      </c>
    </row>
    <row r="30">
      <c r="A30" s="5" t="inlineStr">
        <is>
          <t>Edge Computing revenue ($bn)</t>
        </is>
      </c>
      <c r="B30" s="22" t="n">
        <v>33</v>
      </c>
      <c r="C30" s="22" t="n">
        <v>37</v>
      </c>
      <c r="D30" s="22" t="n">
        <v>41</v>
      </c>
      <c r="E30" s="22" t="n">
        <v>46</v>
      </c>
      <c r="F30" s="22" t="n">
        <v>51</v>
      </c>
      <c r="G30" s="22" t="n">
        <v>56</v>
      </c>
      <c r="H30" s="22" t="n">
        <v>62</v>
      </c>
      <c r="I30" s="22" t="n">
        <v>68</v>
      </c>
    </row>
    <row r="31">
      <c r="A31" s="5" t="inlineStr">
        <is>
          <t>Gross margin</t>
        </is>
      </c>
      <c r="B31" s="11" t="n">
        <v>0.73</v>
      </c>
      <c r="C31" s="11" t="n">
        <v>0.73</v>
      </c>
      <c r="D31" s="11" t="n">
        <v>0.72</v>
      </c>
      <c r="E31" s="11" t="n">
        <v>0.71</v>
      </c>
      <c r="F31" s="11" t="n">
        <v>0.7</v>
      </c>
      <c r="G31" s="11" t="n">
        <v>0.7</v>
      </c>
      <c r="H31" s="11" t="n">
        <v>0.6899999999999999</v>
      </c>
      <c r="I31" s="11" t="n">
        <v>0.6899999999999999</v>
      </c>
    </row>
    <row r="32">
      <c r="A32" s="5" t="inlineStr">
        <is>
          <t>Operating expenses incl. SBC ($bn)</t>
        </is>
      </c>
      <c r="B32" s="22" t="n">
        <v>47</v>
      </c>
      <c r="C32" s="22" t="n">
        <v>58</v>
      </c>
      <c r="D32" s="22" t="n">
        <v>68</v>
      </c>
      <c r="E32" s="22" t="n">
        <v>77</v>
      </c>
      <c r="F32" s="22" t="n">
        <v>86</v>
      </c>
      <c r="G32" s="22" t="n">
        <v>95</v>
      </c>
      <c r="H32" s="22" t="n">
        <v>104</v>
      </c>
      <c r="I32" s="22" t="n">
        <v>112</v>
      </c>
    </row>
    <row r="33">
      <c r="A33" s="5" t="inlineStr">
        <is>
          <t>Depreciation &amp; amortization, % of revenue</t>
        </is>
      </c>
      <c r="B33" s="11" t="n">
        <v>0.013</v>
      </c>
      <c r="C33" s="11" t="n">
        <v>0.014</v>
      </c>
      <c r="D33" s="11" t="n">
        <v>0.015</v>
      </c>
      <c r="E33" s="11" t="n">
        <v>0.016</v>
      </c>
      <c r="F33" s="11" t="n">
        <v>0.017</v>
      </c>
      <c r="G33" s="11" t="n">
        <v>0.018</v>
      </c>
      <c r="H33" s="11" t="n">
        <v>0.019</v>
      </c>
      <c r="I33" s="11" t="n">
        <v>0.02</v>
      </c>
    </row>
    <row r="34">
      <c r="A34" s="5" t="inlineStr">
        <is>
          <t>Capital expenditures, % of revenue</t>
        </is>
      </c>
      <c r="B34" s="11" t="n">
        <v>0.028</v>
      </c>
      <c r="C34" s="11" t="n">
        <v>0.0285</v>
      </c>
      <c r="D34" s="11" t="n">
        <v>0.029</v>
      </c>
      <c r="E34" s="11" t="n">
        <v>0.0295</v>
      </c>
      <c r="F34" s="11" t="n">
        <v>0.03</v>
      </c>
      <c r="G34" s="11" t="n">
        <v>0.0305</v>
      </c>
      <c r="H34" s="11" t="n">
        <v>0.031</v>
      </c>
      <c r="I34" s="11" t="n">
        <v>0.0315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Model: revenue build to unlevered free cash flow and DCF ($bn unless noted)</t>
        </is>
      </c>
    </row>
    <row r="2">
      <c r="A2" s="2" t="inlineStr">
        <is>
          <t>Stock-based compensation is a cost (inside operating expenses). Cash tax on positive EBIT. Fiscal years end late January.</t>
        </is>
      </c>
    </row>
    <row r="4">
      <c r="A4" s="9" t="inlineStr">
        <is>
          <t>Bear case</t>
        </is>
      </c>
    </row>
    <row r="5">
      <c r="A5" s="3" t="inlineStr">
        <is>
          <t>Line item</t>
        </is>
      </c>
      <c r="B5" s="4" t="inlineStr"/>
      <c r="C5" s="4" t="inlineStr">
        <is>
          <t>FY2028</t>
        </is>
      </c>
      <c r="D5" s="4" t="inlineStr">
        <is>
          <t>FY2029</t>
        </is>
      </c>
      <c r="E5" s="4" t="inlineStr">
        <is>
          <t>FY2030</t>
        </is>
      </c>
      <c r="F5" s="4" t="inlineStr">
        <is>
          <t>FY2031</t>
        </is>
      </c>
      <c r="G5" s="4" t="inlineStr">
        <is>
          <t>FY2032</t>
        </is>
      </c>
      <c r="H5" s="4" t="inlineStr">
        <is>
          <t>FY2033</t>
        </is>
      </c>
      <c r="I5" s="4" t="inlineStr">
        <is>
          <t>FY2034</t>
        </is>
      </c>
      <c r="J5" s="4" t="inlineStr">
        <is>
          <t>FY2035</t>
        </is>
      </c>
    </row>
    <row r="6">
      <c r="A6" s="5" t="inlineStr">
        <is>
          <t>Data Center revenue</t>
        </is>
      </c>
      <c r="C6" s="31">
        <f>Scenarios!B7*Inputs!$C$20</f>
        <v/>
      </c>
      <c r="D6" s="31">
        <f>Scenarios!C7*Inputs!$C$20</f>
        <v/>
      </c>
      <c r="E6" s="31">
        <f>Scenarios!D7*Inputs!$C$20</f>
        <v/>
      </c>
      <c r="F6" s="31">
        <f>Scenarios!E7*Inputs!$C$20</f>
        <v/>
      </c>
      <c r="G6" s="31">
        <f>Scenarios!F7*Inputs!$C$20</f>
        <v/>
      </c>
      <c r="H6" s="31">
        <f>Scenarios!G7*Inputs!$C$20</f>
        <v/>
      </c>
      <c r="I6" s="31">
        <f>Scenarios!H7*Inputs!$C$20</f>
        <v/>
      </c>
      <c r="J6" s="31">
        <f>Scenarios!I7*Inputs!$C$20</f>
        <v/>
      </c>
    </row>
    <row r="7">
      <c r="A7" s="5" t="inlineStr">
        <is>
          <t>Edge Computing revenue</t>
        </is>
      </c>
      <c r="C7" s="31">
        <f>Scenarios!B8</f>
        <v/>
      </c>
      <c r="D7" s="31">
        <f>Scenarios!C8</f>
        <v/>
      </c>
      <c r="E7" s="31">
        <f>Scenarios!D8</f>
        <v/>
      </c>
      <c r="F7" s="31">
        <f>Scenarios!E8</f>
        <v/>
      </c>
      <c r="G7" s="31">
        <f>Scenarios!F8</f>
        <v/>
      </c>
      <c r="H7" s="31">
        <f>Scenarios!G8</f>
        <v/>
      </c>
      <c r="I7" s="31">
        <f>Scenarios!H8</f>
        <v/>
      </c>
      <c r="J7" s="31">
        <f>Scenarios!I8</f>
        <v/>
      </c>
    </row>
    <row r="8">
      <c r="A8" s="9" t="inlineStr">
        <is>
          <t>Total revenue</t>
        </is>
      </c>
      <c r="C8" s="23">
        <f>C6+C7</f>
        <v/>
      </c>
      <c r="D8" s="23">
        <f>D6+D7</f>
        <v/>
      </c>
      <c r="E8" s="23">
        <f>E6+E7</f>
        <v/>
      </c>
      <c r="F8" s="23">
        <f>F6+F7</f>
        <v/>
      </c>
      <c r="G8" s="23">
        <f>G6+G7</f>
        <v/>
      </c>
      <c r="H8" s="23">
        <f>H6+H7</f>
        <v/>
      </c>
      <c r="I8" s="23">
        <f>I6+I7</f>
        <v/>
      </c>
      <c r="J8" s="23">
        <f>J6+J7</f>
        <v/>
      </c>
    </row>
    <row r="9">
      <c r="A9" s="5" t="inlineStr">
        <is>
          <t>Gross margin</t>
        </is>
      </c>
      <c r="C9" s="6">
        <f>Scenarios!B9</f>
        <v/>
      </c>
      <c r="D9" s="6">
        <f>Scenarios!C9</f>
        <v/>
      </c>
      <c r="E9" s="6">
        <f>Scenarios!D9</f>
        <v/>
      </c>
      <c r="F9" s="6">
        <f>Scenarios!E9</f>
        <v/>
      </c>
      <c r="G9" s="6">
        <f>Scenarios!F9</f>
        <v/>
      </c>
      <c r="H9" s="6">
        <f>Scenarios!G9</f>
        <v/>
      </c>
      <c r="I9" s="6">
        <f>Scenarios!H9</f>
        <v/>
      </c>
      <c r="J9" s="6">
        <f>Scenarios!I9</f>
        <v/>
      </c>
    </row>
    <row r="10">
      <c r="A10" s="9" t="inlineStr">
        <is>
          <t>Gross profit</t>
        </is>
      </c>
      <c r="C10" s="23">
        <f>C8*C9</f>
        <v/>
      </c>
      <c r="D10" s="23">
        <f>D8*D9</f>
        <v/>
      </c>
      <c r="E10" s="23">
        <f>E8*E9</f>
        <v/>
      </c>
      <c r="F10" s="23">
        <f>F8*F9</f>
        <v/>
      </c>
      <c r="G10" s="23">
        <f>G8*G9</f>
        <v/>
      </c>
      <c r="H10" s="23">
        <f>H8*H9</f>
        <v/>
      </c>
      <c r="I10" s="23">
        <f>I8*I9</f>
        <v/>
      </c>
      <c r="J10" s="23">
        <f>J8*J9</f>
        <v/>
      </c>
    </row>
    <row r="11">
      <c r="A11" s="5" t="inlineStr">
        <is>
          <t>Operating expenses incl. SBC</t>
        </is>
      </c>
      <c r="C11" s="31">
        <f>Scenarios!B10</f>
        <v/>
      </c>
      <c r="D11" s="31">
        <f>Scenarios!C10</f>
        <v/>
      </c>
      <c r="E11" s="31">
        <f>Scenarios!D10</f>
        <v/>
      </c>
      <c r="F11" s="31">
        <f>Scenarios!E10</f>
        <v/>
      </c>
      <c r="G11" s="31">
        <f>Scenarios!F10</f>
        <v/>
      </c>
      <c r="H11" s="31">
        <f>Scenarios!G10</f>
        <v/>
      </c>
      <c r="I11" s="31">
        <f>Scenarios!H10</f>
        <v/>
      </c>
      <c r="J11" s="31">
        <f>Scenarios!I10</f>
        <v/>
      </c>
    </row>
    <row r="12">
      <c r="A12" s="9" t="inlineStr">
        <is>
          <t>EBIT</t>
        </is>
      </c>
      <c r="C12" s="23">
        <f>C10-C11</f>
        <v/>
      </c>
      <c r="D12" s="23">
        <f>D10-D11</f>
        <v/>
      </c>
      <c r="E12" s="23">
        <f>E10-E11</f>
        <v/>
      </c>
      <c r="F12" s="23">
        <f>F10-F11</f>
        <v/>
      </c>
      <c r="G12" s="23">
        <f>G10-G11</f>
        <v/>
      </c>
      <c r="H12" s="23">
        <f>H10-H11</f>
        <v/>
      </c>
      <c r="I12" s="23">
        <f>I10-I11</f>
        <v/>
      </c>
      <c r="J12" s="23">
        <f>J10-J11</f>
        <v/>
      </c>
    </row>
    <row r="13">
      <c r="A13" s="5" t="inlineStr">
        <is>
          <t>EBIT margin</t>
        </is>
      </c>
      <c r="C13" s="8">
        <f>IF(C8=0,0,C12/C8)</f>
        <v/>
      </c>
      <c r="D13" s="8">
        <f>IF(D8=0,0,D12/D8)</f>
        <v/>
      </c>
      <c r="E13" s="8">
        <f>IF(E8=0,0,E12/E8)</f>
        <v/>
      </c>
      <c r="F13" s="8">
        <f>IF(F8=0,0,F12/F8)</f>
        <v/>
      </c>
      <c r="G13" s="8">
        <f>IF(G8=0,0,G12/G8)</f>
        <v/>
      </c>
      <c r="H13" s="8">
        <f>IF(H8=0,0,H12/H8)</f>
        <v/>
      </c>
      <c r="I13" s="8">
        <f>IF(I8=0,0,I12/I8)</f>
        <v/>
      </c>
      <c r="J13" s="8">
        <f>IF(J8=0,0,J12/J8)</f>
        <v/>
      </c>
    </row>
    <row r="14">
      <c r="A14" s="5" t="inlineStr">
        <is>
          <t>Cash tax on EBIT</t>
        </is>
      </c>
      <c r="C14" s="23">
        <f>MAX(0,C12)*Inputs!$C$19</f>
        <v/>
      </c>
      <c r="D14" s="23">
        <f>MAX(0,D12)*Inputs!$C$19</f>
        <v/>
      </c>
      <c r="E14" s="23">
        <f>MAX(0,E12)*Inputs!$C$19</f>
        <v/>
      </c>
      <c r="F14" s="23">
        <f>MAX(0,F12)*Inputs!$C$19</f>
        <v/>
      </c>
      <c r="G14" s="23">
        <f>MAX(0,G12)*Inputs!$C$19</f>
        <v/>
      </c>
      <c r="H14" s="23">
        <f>MAX(0,H12)*Inputs!$C$19</f>
        <v/>
      </c>
      <c r="I14" s="23">
        <f>MAX(0,I12)*Inputs!$C$19</f>
        <v/>
      </c>
      <c r="J14" s="23">
        <f>MAX(0,J12)*Inputs!$C$19</f>
        <v/>
      </c>
    </row>
    <row r="15">
      <c r="A15" s="5" t="inlineStr">
        <is>
          <t>D&amp;A, % of revenue</t>
        </is>
      </c>
      <c r="C15" s="6">
        <f>Scenarios!B11</f>
        <v/>
      </c>
      <c r="D15" s="6">
        <f>Scenarios!C11</f>
        <v/>
      </c>
      <c r="E15" s="6">
        <f>Scenarios!D11</f>
        <v/>
      </c>
      <c r="F15" s="6">
        <f>Scenarios!E11</f>
        <v/>
      </c>
      <c r="G15" s="6">
        <f>Scenarios!F11</f>
        <v/>
      </c>
      <c r="H15" s="6">
        <f>Scenarios!G11</f>
        <v/>
      </c>
      <c r="I15" s="6">
        <f>Scenarios!H11</f>
        <v/>
      </c>
      <c r="J15" s="6">
        <f>Scenarios!I11</f>
        <v/>
      </c>
    </row>
    <row r="16">
      <c r="A16" s="5" t="inlineStr">
        <is>
          <t>Depreciation &amp; amortization</t>
        </is>
      </c>
      <c r="C16" s="23">
        <f>C8*C15</f>
        <v/>
      </c>
      <c r="D16" s="23">
        <f>D8*D15</f>
        <v/>
      </c>
      <c r="E16" s="23">
        <f>E8*E15</f>
        <v/>
      </c>
      <c r="F16" s="23">
        <f>F8*F15</f>
        <v/>
      </c>
      <c r="G16" s="23">
        <f>G8*G15</f>
        <v/>
      </c>
      <c r="H16" s="23">
        <f>H8*H15</f>
        <v/>
      </c>
      <c r="I16" s="23">
        <f>I8*I15</f>
        <v/>
      </c>
      <c r="J16" s="23">
        <f>J8*J15</f>
        <v/>
      </c>
    </row>
    <row r="17">
      <c r="A17" s="9" t="inlineStr">
        <is>
          <t>EBITDA</t>
        </is>
      </c>
      <c r="C17" s="23">
        <f>C12+C16</f>
        <v/>
      </c>
      <c r="D17" s="23">
        <f>D12+D16</f>
        <v/>
      </c>
      <c r="E17" s="23">
        <f>E12+E16</f>
        <v/>
      </c>
      <c r="F17" s="23">
        <f>F12+F16</f>
        <v/>
      </c>
      <c r="G17" s="23">
        <f>G12+G16</f>
        <v/>
      </c>
      <c r="H17" s="23">
        <f>H12+H16</f>
        <v/>
      </c>
      <c r="I17" s="23">
        <f>I12+I16</f>
        <v/>
      </c>
      <c r="J17" s="23">
        <f>J12+J16</f>
        <v/>
      </c>
    </row>
    <row r="18">
      <c r="A18" s="5" t="inlineStr">
        <is>
          <t>Capex, % of revenue</t>
        </is>
      </c>
      <c r="C18" s="6">
        <f>Scenarios!B12</f>
        <v/>
      </c>
      <c r="D18" s="6">
        <f>Scenarios!C12</f>
        <v/>
      </c>
      <c r="E18" s="6">
        <f>Scenarios!D12</f>
        <v/>
      </c>
      <c r="F18" s="6">
        <f>Scenarios!E12</f>
        <v/>
      </c>
      <c r="G18" s="6">
        <f>Scenarios!F12</f>
        <v/>
      </c>
      <c r="H18" s="6">
        <f>Scenarios!G12</f>
        <v/>
      </c>
      <c r="I18" s="6">
        <f>Scenarios!H12</f>
        <v/>
      </c>
      <c r="J18" s="6">
        <f>Scenarios!I12</f>
        <v/>
      </c>
    </row>
    <row r="19">
      <c r="A19" s="5" t="inlineStr">
        <is>
          <t>Capital expenditures</t>
        </is>
      </c>
      <c r="C19" s="23">
        <f>C8*C18</f>
        <v/>
      </c>
      <c r="D19" s="23">
        <f>D8*D18</f>
        <v/>
      </c>
      <c r="E19" s="23">
        <f>E8*E18</f>
        <v/>
      </c>
      <c r="F19" s="23">
        <f>F8*F18</f>
        <v/>
      </c>
      <c r="G19" s="23">
        <f>G8*G18</f>
        <v/>
      </c>
      <c r="H19" s="23">
        <f>H8*H18</f>
        <v/>
      </c>
      <c r="I19" s="23">
        <f>I8*I18</f>
        <v/>
      </c>
      <c r="J19" s="23">
        <f>J8*J18</f>
        <v/>
      </c>
    </row>
    <row r="20">
      <c r="A20" s="5" t="inlineStr">
        <is>
          <t>Change in net working capital</t>
        </is>
      </c>
      <c r="C20" s="23">
        <f>Inputs!$C$37*(C8-Inputs!$C$18)</f>
        <v/>
      </c>
      <c r="D20" s="23">
        <f>Inputs!$C$37*(D8-C8)</f>
        <v/>
      </c>
      <c r="E20" s="23">
        <f>Inputs!$C$37*(E8-D8)</f>
        <v/>
      </c>
      <c r="F20" s="23">
        <f>Inputs!$C$37*(F8-E8)</f>
        <v/>
      </c>
      <c r="G20" s="23">
        <f>Inputs!$C$37*(G8-F8)</f>
        <v/>
      </c>
      <c r="H20" s="23">
        <f>Inputs!$C$37*(H8-G8)</f>
        <v/>
      </c>
      <c r="I20" s="23">
        <f>Inputs!$C$37*(I8-H8)</f>
        <v/>
      </c>
      <c r="J20" s="23">
        <f>Inputs!$C$37*(J8-I8)</f>
        <v/>
      </c>
    </row>
    <row r="21">
      <c r="A21" s="9" t="inlineStr">
        <is>
          <t>Unlevered free cash flow</t>
        </is>
      </c>
      <c r="C21" s="23">
        <f>C12-C14+C16-C19-C20</f>
        <v/>
      </c>
      <c r="D21" s="23">
        <f>D12-D14+D16-D19-D20</f>
        <v/>
      </c>
      <c r="E21" s="23">
        <f>E12-E14+E16-E19-E20</f>
        <v/>
      </c>
      <c r="F21" s="23">
        <f>F12-F14+F16-F19-F20</f>
        <v/>
      </c>
      <c r="G21" s="23">
        <f>G12-G14+G16-G19-G20</f>
        <v/>
      </c>
      <c r="H21" s="23">
        <f>H12-H14+H16-H19-H20</f>
        <v/>
      </c>
      <c r="I21" s="23">
        <f>I12-I14+I16-I19-I20</f>
        <v/>
      </c>
      <c r="J21" s="23">
        <f>J12-J14+J16-J19-J20</f>
        <v/>
      </c>
    </row>
    <row r="22">
      <c r="A22" s="5" t="inlineStr">
        <is>
          <t>Discount period (years)</t>
        </is>
      </c>
      <c r="C22" s="32">
        <f>2028+0.5-Inputs!$C$17</f>
        <v/>
      </c>
      <c r="D22" s="32">
        <f>2029+0.5-Inputs!$C$17</f>
        <v/>
      </c>
      <c r="E22" s="32">
        <f>2030+0.5-Inputs!$C$17</f>
        <v/>
      </c>
      <c r="F22" s="32">
        <f>2031+0.5-Inputs!$C$17</f>
        <v/>
      </c>
      <c r="G22" s="32">
        <f>2032+0.5-Inputs!$C$17</f>
        <v/>
      </c>
      <c r="H22" s="32">
        <f>2033+0.5-Inputs!$C$17</f>
        <v/>
      </c>
      <c r="I22" s="32">
        <f>2034+0.5-Inputs!$C$17</f>
        <v/>
      </c>
      <c r="J22" s="32">
        <f>2035+0.5-Inputs!$C$17</f>
        <v/>
      </c>
    </row>
    <row r="23">
      <c r="A23" s="5" t="inlineStr">
        <is>
          <t>Discount factor</t>
        </is>
      </c>
      <c r="C23" s="33">
        <f>1/(1+Inputs!$C$31)^C22</f>
        <v/>
      </c>
      <c r="D23" s="33">
        <f>1/(1+Inputs!$C$31)^D22</f>
        <v/>
      </c>
      <c r="E23" s="33">
        <f>1/(1+Inputs!$C$31)^E22</f>
        <v/>
      </c>
      <c r="F23" s="33">
        <f>1/(1+Inputs!$C$31)^F22</f>
        <v/>
      </c>
      <c r="G23" s="33">
        <f>1/(1+Inputs!$C$31)^G22</f>
        <v/>
      </c>
      <c r="H23" s="33">
        <f>1/(1+Inputs!$C$31)^H22</f>
        <v/>
      </c>
      <c r="I23" s="33">
        <f>1/(1+Inputs!$C$31)^I22</f>
        <v/>
      </c>
      <c r="J23" s="33">
        <f>1/(1+Inputs!$C$31)^J22</f>
        <v/>
      </c>
    </row>
    <row r="24">
      <c r="A24" s="9" t="inlineStr">
        <is>
          <t>PV of unlevered FCF</t>
        </is>
      </c>
      <c r="C24" s="23">
        <f>C21*C23</f>
        <v/>
      </c>
      <c r="D24" s="23">
        <f>D21*D23</f>
        <v/>
      </c>
      <c r="E24" s="23">
        <f>E21*E23</f>
        <v/>
      </c>
      <c r="F24" s="23">
        <f>F21*F23</f>
        <v/>
      </c>
      <c r="G24" s="23">
        <f>G21*G23</f>
        <v/>
      </c>
      <c r="H24" s="23">
        <f>H21*H23</f>
        <v/>
      </c>
      <c r="I24" s="23">
        <f>I21*I23</f>
        <v/>
      </c>
      <c r="J24" s="23">
        <f>J21*J23</f>
        <v/>
      </c>
    </row>
    <row r="26">
      <c r="A26" s="5" t="inlineStr">
        <is>
          <t>Normalized terminal FCF (2035)</t>
        </is>
      </c>
      <c r="C26" s="23">
        <f>J12*(1-Inputs!$C$35)+J16*(1-Inputs!$C$36)-Inputs!$C$37*J8*Inputs!$C$34</f>
        <v/>
      </c>
    </row>
    <row r="27">
      <c r="A27" s="5" t="inlineStr">
        <is>
          <t>Terminal value, exit multiple</t>
        </is>
      </c>
      <c r="C27" s="23">
        <f>J17*Inputs!$C$33</f>
        <v/>
      </c>
    </row>
    <row r="28">
      <c r="A28" s="5" t="inlineStr">
        <is>
          <t>Terminal value, perpetual growth (cross-check)</t>
        </is>
      </c>
      <c r="C28" s="23">
        <f>$C$26*(1+Inputs!$C$34)/(Inputs!$C$31-Inputs!$C$34)</f>
        <v/>
      </c>
    </row>
    <row r="29">
      <c r="A29" s="5" t="inlineStr">
        <is>
          <t>PV of FY2028-FY2035 FCF + H2 FY2027 stub</t>
        </is>
      </c>
      <c r="C29" s="23">
        <f>SUM(C24:J24)+Inputs!$C$16</f>
        <v/>
      </c>
    </row>
    <row r="30">
      <c r="A30" s="5" t="inlineStr">
        <is>
          <t>PV of terminal value (exit multiple, end-2035 value)</t>
        </is>
      </c>
      <c r="C30" s="23">
        <f>$C$27/(1+Inputs!$C$31)^(J22+0.5)</f>
        <v/>
      </c>
    </row>
    <row r="31">
      <c r="A31" s="34" t="inlineStr">
        <is>
          <t>Enterprise value</t>
        </is>
      </c>
      <c r="C31" s="35">
        <f>$C$29+$C$30</f>
        <v/>
      </c>
    </row>
    <row r="32">
      <c r="A32" s="5" t="inlineStr">
        <is>
          <t>Equity value</t>
        </is>
      </c>
      <c r="C32" s="23">
        <f>$C$31+Inputs!$C$45</f>
        <v/>
      </c>
    </row>
    <row r="33">
      <c r="A33" s="5" t="inlineStr">
        <is>
          <t>DCF value per share ($)</t>
        </is>
      </c>
      <c r="C33" s="13">
        <f>MAX(0,$C$32*1000/Inputs!$C$5)</f>
        <v/>
      </c>
    </row>
    <row r="34">
      <c r="A34" s="5" t="inlineStr">
        <is>
          <t>Strategic floor per share ($)</t>
        </is>
      </c>
      <c r="C34" s="20" t="n">
        <v>0</v>
      </c>
    </row>
    <row r="35">
      <c r="A35" s="34" t="inlineStr">
        <is>
          <t>Value per share ($)</t>
        </is>
      </c>
      <c r="C35" s="36">
        <f>MAX($C$33,$C$34)</f>
        <v/>
      </c>
    </row>
    <row r="36">
      <c r="A36" s="5" t="inlineStr">
        <is>
          <t>Cross-check: value per share at perpetual growth ($)</t>
        </is>
      </c>
      <c r="C36" s="13">
        <f>MAX(0,($C$29+$C$28*J23+Inputs!$C$45)*1000/Inputs!$C$5)</f>
        <v/>
      </c>
    </row>
    <row r="37">
      <c r="A37" s="5" t="inlineStr">
        <is>
          <t>Perpetual growth implied by the exit multiple</t>
        </is>
      </c>
      <c r="C37" s="8">
        <f>($C$27*Inputs!$C$31-$C$26)/($C$27+$C$26)</f>
        <v/>
      </c>
    </row>
    <row r="40">
      <c r="A40" s="9" t="inlineStr">
        <is>
          <t>Base case</t>
        </is>
      </c>
    </row>
    <row r="41">
      <c r="A41" s="3" t="inlineStr">
        <is>
          <t>Line item</t>
        </is>
      </c>
      <c r="B41" s="4" t="inlineStr"/>
      <c r="C41" s="4" t="inlineStr">
        <is>
          <t>FY2028</t>
        </is>
      </c>
      <c r="D41" s="4" t="inlineStr">
        <is>
          <t>FY2029</t>
        </is>
      </c>
      <c r="E41" s="4" t="inlineStr">
        <is>
          <t>FY2030</t>
        </is>
      </c>
      <c r="F41" s="4" t="inlineStr">
        <is>
          <t>FY2031</t>
        </is>
      </c>
      <c r="G41" s="4" t="inlineStr">
        <is>
          <t>FY2032</t>
        </is>
      </c>
      <c r="H41" s="4" t="inlineStr">
        <is>
          <t>FY2033</t>
        </is>
      </c>
      <c r="I41" s="4" t="inlineStr">
        <is>
          <t>FY2034</t>
        </is>
      </c>
      <c r="J41" s="4" t="inlineStr">
        <is>
          <t>FY2035</t>
        </is>
      </c>
    </row>
    <row r="42">
      <c r="A42" s="5" t="inlineStr">
        <is>
          <t>Data Center revenue</t>
        </is>
      </c>
      <c r="C42" s="31">
        <f>Scenarios!B18*Inputs!$C$20</f>
        <v/>
      </c>
      <c r="D42" s="31">
        <f>Scenarios!C18*Inputs!$C$20</f>
        <v/>
      </c>
      <c r="E42" s="31">
        <f>Scenarios!D18*Inputs!$C$20</f>
        <v/>
      </c>
      <c r="F42" s="31">
        <f>Scenarios!E18*Inputs!$C$20</f>
        <v/>
      </c>
      <c r="G42" s="31">
        <f>Scenarios!F18*Inputs!$C$20</f>
        <v/>
      </c>
      <c r="H42" s="31">
        <f>Scenarios!G18*Inputs!$C$20</f>
        <v/>
      </c>
      <c r="I42" s="31">
        <f>Scenarios!H18*Inputs!$C$20</f>
        <v/>
      </c>
      <c r="J42" s="31">
        <f>Scenarios!I18*Inputs!$C$20</f>
        <v/>
      </c>
    </row>
    <row r="43">
      <c r="A43" s="5" t="inlineStr">
        <is>
          <t>Edge Computing revenue</t>
        </is>
      </c>
      <c r="C43" s="31">
        <f>Scenarios!B19</f>
        <v/>
      </c>
      <c r="D43" s="31">
        <f>Scenarios!C19</f>
        <v/>
      </c>
      <c r="E43" s="31">
        <f>Scenarios!D19</f>
        <v/>
      </c>
      <c r="F43" s="31">
        <f>Scenarios!E19</f>
        <v/>
      </c>
      <c r="G43" s="31">
        <f>Scenarios!F19</f>
        <v/>
      </c>
      <c r="H43" s="31">
        <f>Scenarios!G19</f>
        <v/>
      </c>
      <c r="I43" s="31">
        <f>Scenarios!H19</f>
        <v/>
      </c>
      <c r="J43" s="31">
        <f>Scenarios!I19</f>
        <v/>
      </c>
    </row>
    <row r="44">
      <c r="A44" s="9" t="inlineStr">
        <is>
          <t>Total revenue</t>
        </is>
      </c>
      <c r="C44" s="23">
        <f>C42+C43</f>
        <v/>
      </c>
      <c r="D44" s="23">
        <f>D42+D43</f>
        <v/>
      </c>
      <c r="E44" s="23">
        <f>E42+E43</f>
        <v/>
      </c>
      <c r="F44" s="23">
        <f>F42+F43</f>
        <v/>
      </c>
      <c r="G44" s="23">
        <f>G42+G43</f>
        <v/>
      </c>
      <c r="H44" s="23">
        <f>H42+H43</f>
        <v/>
      </c>
      <c r="I44" s="23">
        <f>I42+I43</f>
        <v/>
      </c>
      <c r="J44" s="23">
        <f>J42+J43</f>
        <v/>
      </c>
    </row>
    <row r="45">
      <c r="A45" s="5" t="inlineStr">
        <is>
          <t>Gross margin</t>
        </is>
      </c>
      <c r="C45" s="6">
        <f>Scenarios!B20</f>
        <v/>
      </c>
      <c r="D45" s="6">
        <f>Scenarios!C20</f>
        <v/>
      </c>
      <c r="E45" s="6">
        <f>Scenarios!D20</f>
        <v/>
      </c>
      <c r="F45" s="6">
        <f>Scenarios!E20</f>
        <v/>
      </c>
      <c r="G45" s="6">
        <f>Scenarios!F20</f>
        <v/>
      </c>
      <c r="H45" s="6">
        <f>Scenarios!G20</f>
        <v/>
      </c>
      <c r="I45" s="6">
        <f>Scenarios!H20</f>
        <v/>
      </c>
      <c r="J45" s="6">
        <f>Scenarios!I20</f>
        <v/>
      </c>
    </row>
    <row r="46">
      <c r="A46" s="9" t="inlineStr">
        <is>
          <t>Gross profit</t>
        </is>
      </c>
      <c r="C46" s="23">
        <f>C44*C45</f>
        <v/>
      </c>
      <c r="D46" s="23">
        <f>D44*D45</f>
        <v/>
      </c>
      <c r="E46" s="23">
        <f>E44*E45</f>
        <v/>
      </c>
      <c r="F46" s="23">
        <f>F44*F45</f>
        <v/>
      </c>
      <c r="G46" s="23">
        <f>G44*G45</f>
        <v/>
      </c>
      <c r="H46" s="23">
        <f>H44*H45</f>
        <v/>
      </c>
      <c r="I46" s="23">
        <f>I44*I45</f>
        <v/>
      </c>
      <c r="J46" s="23">
        <f>J44*J45</f>
        <v/>
      </c>
    </row>
    <row r="47">
      <c r="A47" s="5" t="inlineStr">
        <is>
          <t>Operating expenses incl. SBC</t>
        </is>
      </c>
      <c r="C47" s="31">
        <f>Scenarios!B21</f>
        <v/>
      </c>
      <c r="D47" s="31">
        <f>Scenarios!C21</f>
        <v/>
      </c>
      <c r="E47" s="31">
        <f>Scenarios!D21</f>
        <v/>
      </c>
      <c r="F47" s="31">
        <f>Scenarios!E21</f>
        <v/>
      </c>
      <c r="G47" s="31">
        <f>Scenarios!F21</f>
        <v/>
      </c>
      <c r="H47" s="31">
        <f>Scenarios!G21</f>
        <v/>
      </c>
      <c r="I47" s="31">
        <f>Scenarios!H21</f>
        <v/>
      </c>
      <c r="J47" s="31">
        <f>Scenarios!I21</f>
        <v/>
      </c>
    </row>
    <row r="48">
      <c r="A48" s="9" t="inlineStr">
        <is>
          <t>EBIT</t>
        </is>
      </c>
      <c r="C48" s="23">
        <f>C46-C47</f>
        <v/>
      </c>
      <c r="D48" s="23">
        <f>D46-D47</f>
        <v/>
      </c>
      <c r="E48" s="23">
        <f>E46-E47</f>
        <v/>
      </c>
      <c r="F48" s="23">
        <f>F46-F47</f>
        <v/>
      </c>
      <c r="G48" s="23">
        <f>G46-G47</f>
        <v/>
      </c>
      <c r="H48" s="23">
        <f>H46-H47</f>
        <v/>
      </c>
      <c r="I48" s="23">
        <f>I46-I47</f>
        <v/>
      </c>
      <c r="J48" s="23">
        <f>J46-J47</f>
        <v/>
      </c>
    </row>
    <row r="49">
      <c r="A49" s="5" t="inlineStr">
        <is>
          <t>EBIT margin</t>
        </is>
      </c>
      <c r="C49" s="8">
        <f>IF(C44=0,0,C48/C44)</f>
        <v/>
      </c>
      <c r="D49" s="8">
        <f>IF(D44=0,0,D48/D44)</f>
        <v/>
      </c>
      <c r="E49" s="8">
        <f>IF(E44=0,0,E48/E44)</f>
        <v/>
      </c>
      <c r="F49" s="8">
        <f>IF(F44=0,0,F48/F44)</f>
        <v/>
      </c>
      <c r="G49" s="8">
        <f>IF(G44=0,0,G48/G44)</f>
        <v/>
      </c>
      <c r="H49" s="8">
        <f>IF(H44=0,0,H48/H44)</f>
        <v/>
      </c>
      <c r="I49" s="8">
        <f>IF(I44=0,0,I48/I44)</f>
        <v/>
      </c>
      <c r="J49" s="8">
        <f>IF(J44=0,0,J48/J44)</f>
        <v/>
      </c>
    </row>
    <row r="50">
      <c r="A50" s="5" t="inlineStr">
        <is>
          <t>Cash tax on EBIT</t>
        </is>
      </c>
      <c r="C50" s="23">
        <f>MAX(0,C48)*Inputs!$C$19</f>
        <v/>
      </c>
      <c r="D50" s="23">
        <f>MAX(0,D48)*Inputs!$C$19</f>
        <v/>
      </c>
      <c r="E50" s="23">
        <f>MAX(0,E48)*Inputs!$C$19</f>
        <v/>
      </c>
      <c r="F50" s="23">
        <f>MAX(0,F48)*Inputs!$C$19</f>
        <v/>
      </c>
      <c r="G50" s="23">
        <f>MAX(0,G48)*Inputs!$C$19</f>
        <v/>
      </c>
      <c r="H50" s="23">
        <f>MAX(0,H48)*Inputs!$C$19</f>
        <v/>
      </c>
      <c r="I50" s="23">
        <f>MAX(0,I48)*Inputs!$C$19</f>
        <v/>
      </c>
      <c r="J50" s="23">
        <f>MAX(0,J48)*Inputs!$C$19</f>
        <v/>
      </c>
    </row>
    <row r="51">
      <c r="A51" s="5" t="inlineStr">
        <is>
          <t>D&amp;A, % of revenue</t>
        </is>
      </c>
      <c r="C51" s="6">
        <f>Scenarios!B22</f>
        <v/>
      </c>
      <c r="D51" s="6">
        <f>Scenarios!C22</f>
        <v/>
      </c>
      <c r="E51" s="6">
        <f>Scenarios!D22</f>
        <v/>
      </c>
      <c r="F51" s="6">
        <f>Scenarios!E22</f>
        <v/>
      </c>
      <c r="G51" s="6">
        <f>Scenarios!F22</f>
        <v/>
      </c>
      <c r="H51" s="6">
        <f>Scenarios!G22</f>
        <v/>
      </c>
      <c r="I51" s="6">
        <f>Scenarios!H22</f>
        <v/>
      </c>
      <c r="J51" s="6">
        <f>Scenarios!I22</f>
        <v/>
      </c>
    </row>
    <row r="52">
      <c r="A52" s="5" t="inlineStr">
        <is>
          <t>Depreciation &amp; amortization</t>
        </is>
      </c>
      <c r="C52" s="23">
        <f>C44*C51</f>
        <v/>
      </c>
      <c r="D52" s="23">
        <f>D44*D51</f>
        <v/>
      </c>
      <c r="E52" s="23">
        <f>E44*E51</f>
        <v/>
      </c>
      <c r="F52" s="23">
        <f>F44*F51</f>
        <v/>
      </c>
      <c r="G52" s="23">
        <f>G44*G51</f>
        <v/>
      </c>
      <c r="H52" s="23">
        <f>H44*H51</f>
        <v/>
      </c>
      <c r="I52" s="23">
        <f>I44*I51</f>
        <v/>
      </c>
      <c r="J52" s="23">
        <f>J44*J51</f>
        <v/>
      </c>
    </row>
    <row r="53">
      <c r="A53" s="9" t="inlineStr">
        <is>
          <t>EBITDA</t>
        </is>
      </c>
      <c r="C53" s="23">
        <f>C48+C52</f>
        <v/>
      </c>
      <c r="D53" s="23">
        <f>D48+D52</f>
        <v/>
      </c>
      <c r="E53" s="23">
        <f>E48+E52</f>
        <v/>
      </c>
      <c r="F53" s="23">
        <f>F48+F52</f>
        <v/>
      </c>
      <c r="G53" s="23">
        <f>G48+G52</f>
        <v/>
      </c>
      <c r="H53" s="23">
        <f>H48+H52</f>
        <v/>
      </c>
      <c r="I53" s="23">
        <f>I48+I52</f>
        <v/>
      </c>
      <c r="J53" s="23">
        <f>J48+J52</f>
        <v/>
      </c>
    </row>
    <row r="54">
      <c r="A54" s="5" t="inlineStr">
        <is>
          <t>Capex, % of revenue</t>
        </is>
      </c>
      <c r="C54" s="6">
        <f>Scenarios!B23</f>
        <v/>
      </c>
      <c r="D54" s="6">
        <f>Scenarios!C23</f>
        <v/>
      </c>
      <c r="E54" s="6">
        <f>Scenarios!D23</f>
        <v/>
      </c>
      <c r="F54" s="6">
        <f>Scenarios!E23</f>
        <v/>
      </c>
      <c r="G54" s="6">
        <f>Scenarios!F23</f>
        <v/>
      </c>
      <c r="H54" s="6">
        <f>Scenarios!G23</f>
        <v/>
      </c>
      <c r="I54" s="6">
        <f>Scenarios!H23</f>
        <v/>
      </c>
      <c r="J54" s="6">
        <f>Scenarios!I23</f>
        <v/>
      </c>
    </row>
    <row r="55">
      <c r="A55" s="5" t="inlineStr">
        <is>
          <t>Capital expenditures</t>
        </is>
      </c>
      <c r="C55" s="23">
        <f>C44*C54</f>
        <v/>
      </c>
      <c r="D55" s="23">
        <f>D44*D54</f>
        <v/>
      </c>
      <c r="E55" s="23">
        <f>E44*E54</f>
        <v/>
      </c>
      <c r="F55" s="23">
        <f>F44*F54</f>
        <v/>
      </c>
      <c r="G55" s="23">
        <f>G44*G54</f>
        <v/>
      </c>
      <c r="H55" s="23">
        <f>H44*H54</f>
        <v/>
      </c>
      <c r="I55" s="23">
        <f>I44*I54</f>
        <v/>
      </c>
      <c r="J55" s="23">
        <f>J44*J54</f>
        <v/>
      </c>
    </row>
    <row r="56">
      <c r="A56" s="5" t="inlineStr">
        <is>
          <t>Change in net working capital</t>
        </is>
      </c>
      <c r="C56" s="23">
        <f>Inputs!$C$37*(C44-Inputs!$C$18)</f>
        <v/>
      </c>
      <c r="D56" s="23">
        <f>Inputs!$C$37*(D44-C44)</f>
        <v/>
      </c>
      <c r="E56" s="23">
        <f>Inputs!$C$37*(E44-D44)</f>
        <v/>
      </c>
      <c r="F56" s="23">
        <f>Inputs!$C$37*(F44-E44)</f>
        <v/>
      </c>
      <c r="G56" s="23">
        <f>Inputs!$C$37*(G44-F44)</f>
        <v/>
      </c>
      <c r="H56" s="23">
        <f>Inputs!$C$37*(H44-G44)</f>
        <v/>
      </c>
      <c r="I56" s="23">
        <f>Inputs!$C$37*(I44-H44)</f>
        <v/>
      </c>
      <c r="J56" s="23">
        <f>Inputs!$C$37*(J44-I44)</f>
        <v/>
      </c>
    </row>
    <row r="57">
      <c r="A57" s="9" t="inlineStr">
        <is>
          <t>Unlevered free cash flow</t>
        </is>
      </c>
      <c r="C57" s="23">
        <f>C48-C50+C52-C55-C56</f>
        <v/>
      </c>
      <c r="D57" s="23">
        <f>D48-D50+D52-D55-D56</f>
        <v/>
      </c>
      <c r="E57" s="23">
        <f>E48-E50+E52-E55-E56</f>
        <v/>
      </c>
      <c r="F57" s="23">
        <f>F48-F50+F52-F55-F56</f>
        <v/>
      </c>
      <c r="G57" s="23">
        <f>G48-G50+G52-G55-G56</f>
        <v/>
      </c>
      <c r="H57" s="23">
        <f>H48-H50+H52-H55-H56</f>
        <v/>
      </c>
      <c r="I57" s="23">
        <f>I48-I50+I52-I55-I56</f>
        <v/>
      </c>
      <c r="J57" s="23">
        <f>J48-J50+J52-J55-J56</f>
        <v/>
      </c>
    </row>
    <row r="58">
      <c r="A58" s="5" t="inlineStr">
        <is>
          <t>Discount period (years)</t>
        </is>
      </c>
      <c r="C58" s="32">
        <f>2028+0.5-Inputs!$C$17</f>
        <v/>
      </c>
      <c r="D58" s="32">
        <f>2029+0.5-Inputs!$C$17</f>
        <v/>
      </c>
      <c r="E58" s="32">
        <f>2030+0.5-Inputs!$C$17</f>
        <v/>
      </c>
      <c r="F58" s="32">
        <f>2031+0.5-Inputs!$C$17</f>
        <v/>
      </c>
      <c r="G58" s="32">
        <f>2032+0.5-Inputs!$C$17</f>
        <v/>
      </c>
      <c r="H58" s="32">
        <f>2033+0.5-Inputs!$C$17</f>
        <v/>
      </c>
      <c r="I58" s="32">
        <f>2034+0.5-Inputs!$C$17</f>
        <v/>
      </c>
      <c r="J58" s="32">
        <f>2035+0.5-Inputs!$C$17</f>
        <v/>
      </c>
    </row>
    <row r="59">
      <c r="A59" s="5" t="inlineStr">
        <is>
          <t>Discount factor</t>
        </is>
      </c>
      <c r="C59" s="33">
        <f>1/(1+Inputs!$C$31)^C58</f>
        <v/>
      </c>
      <c r="D59" s="33">
        <f>1/(1+Inputs!$C$31)^D58</f>
        <v/>
      </c>
      <c r="E59" s="33">
        <f>1/(1+Inputs!$C$31)^E58</f>
        <v/>
      </c>
      <c r="F59" s="33">
        <f>1/(1+Inputs!$C$31)^F58</f>
        <v/>
      </c>
      <c r="G59" s="33">
        <f>1/(1+Inputs!$C$31)^G58</f>
        <v/>
      </c>
      <c r="H59" s="33">
        <f>1/(1+Inputs!$C$31)^H58</f>
        <v/>
      </c>
      <c r="I59" s="33">
        <f>1/(1+Inputs!$C$31)^I58</f>
        <v/>
      </c>
      <c r="J59" s="33">
        <f>1/(1+Inputs!$C$31)^J58</f>
        <v/>
      </c>
    </row>
    <row r="60">
      <c r="A60" s="9" t="inlineStr">
        <is>
          <t>PV of unlevered FCF</t>
        </is>
      </c>
      <c r="C60" s="23">
        <f>C57*C59</f>
        <v/>
      </c>
      <c r="D60" s="23">
        <f>D57*D59</f>
        <v/>
      </c>
      <c r="E60" s="23">
        <f>E57*E59</f>
        <v/>
      </c>
      <c r="F60" s="23">
        <f>F57*F59</f>
        <v/>
      </c>
      <c r="G60" s="23">
        <f>G57*G59</f>
        <v/>
      </c>
      <c r="H60" s="23">
        <f>H57*H59</f>
        <v/>
      </c>
      <c r="I60" s="23">
        <f>I57*I59</f>
        <v/>
      </c>
      <c r="J60" s="23">
        <f>J57*J59</f>
        <v/>
      </c>
    </row>
    <row r="62">
      <c r="A62" s="5" t="inlineStr">
        <is>
          <t>Normalized terminal FCF (2035)</t>
        </is>
      </c>
      <c r="C62" s="23">
        <f>J48*(1-Inputs!$C$35)+J52*(1-Inputs!$C$36)-Inputs!$C$37*J44*Inputs!$C$34</f>
        <v/>
      </c>
    </row>
    <row r="63">
      <c r="A63" s="5" t="inlineStr">
        <is>
          <t>Terminal value, exit multiple</t>
        </is>
      </c>
      <c r="C63" s="23">
        <f>J53*Inputs!$C$33</f>
        <v/>
      </c>
    </row>
    <row r="64">
      <c r="A64" s="5" t="inlineStr">
        <is>
          <t>Terminal value, perpetual growth (cross-check)</t>
        </is>
      </c>
      <c r="C64" s="23">
        <f>$C$62*(1+Inputs!$C$34)/(Inputs!$C$31-Inputs!$C$34)</f>
        <v/>
      </c>
    </row>
    <row r="65">
      <c r="A65" s="5" t="inlineStr">
        <is>
          <t>PV of FY2028-FY2035 FCF + H2 FY2027 stub</t>
        </is>
      </c>
      <c r="C65" s="23">
        <f>SUM(C60:J60)+Inputs!$C$16</f>
        <v/>
      </c>
    </row>
    <row r="66">
      <c r="A66" s="5" t="inlineStr">
        <is>
          <t>PV of terminal value (exit multiple, end-2035 value)</t>
        </is>
      </c>
      <c r="C66" s="23">
        <f>$C$63/(1+Inputs!$C$31)^(J58+0.5)</f>
        <v/>
      </c>
    </row>
    <row r="67">
      <c r="A67" s="34" t="inlineStr">
        <is>
          <t>Enterprise value</t>
        </is>
      </c>
      <c r="C67" s="35">
        <f>$C$65+$C$66</f>
        <v/>
      </c>
    </row>
    <row r="68">
      <c r="A68" s="5" t="inlineStr">
        <is>
          <t>Equity value</t>
        </is>
      </c>
      <c r="C68" s="23">
        <f>$C$67+Inputs!$C$46</f>
        <v/>
      </c>
    </row>
    <row r="69">
      <c r="A69" s="5" t="inlineStr">
        <is>
          <t>DCF value per share ($)</t>
        </is>
      </c>
      <c r="C69" s="13">
        <f>MAX(0,$C$68*1000/Inputs!$C$5)</f>
        <v/>
      </c>
    </row>
    <row r="70">
      <c r="A70" s="5" t="inlineStr">
        <is>
          <t>Strategic floor per share ($)</t>
        </is>
      </c>
      <c r="C70" s="20" t="n">
        <v>0</v>
      </c>
    </row>
    <row r="71">
      <c r="A71" s="34" t="inlineStr">
        <is>
          <t>Value per share ($)</t>
        </is>
      </c>
      <c r="C71" s="36">
        <f>MAX($C$69,$C$70)</f>
        <v/>
      </c>
    </row>
    <row r="72">
      <c r="A72" s="5" t="inlineStr">
        <is>
          <t>Cross-check: value per share at perpetual growth ($)</t>
        </is>
      </c>
      <c r="C72" s="13">
        <f>MAX(0,($C$65+$C$64*J59+Inputs!$C$46)*1000/Inputs!$C$5)</f>
        <v/>
      </c>
    </row>
    <row r="73">
      <c r="A73" s="5" t="inlineStr">
        <is>
          <t>Perpetual growth implied by the exit multiple</t>
        </is>
      </c>
      <c r="C73" s="8">
        <f>($C$63*Inputs!$C$31-$C$62)/($C$63+$C$62)</f>
        <v/>
      </c>
    </row>
    <row r="76">
      <c r="A76" s="9" t="inlineStr">
        <is>
          <t>Bull case</t>
        </is>
      </c>
    </row>
    <row r="77">
      <c r="A77" s="3" t="inlineStr">
        <is>
          <t>Line item</t>
        </is>
      </c>
      <c r="B77" s="4" t="inlineStr"/>
      <c r="C77" s="4" t="inlineStr">
        <is>
          <t>FY2028</t>
        </is>
      </c>
      <c r="D77" s="4" t="inlineStr">
        <is>
          <t>FY2029</t>
        </is>
      </c>
      <c r="E77" s="4" t="inlineStr">
        <is>
          <t>FY2030</t>
        </is>
      </c>
      <c r="F77" s="4" t="inlineStr">
        <is>
          <t>FY2031</t>
        </is>
      </c>
      <c r="G77" s="4" t="inlineStr">
        <is>
          <t>FY2032</t>
        </is>
      </c>
      <c r="H77" s="4" t="inlineStr">
        <is>
          <t>FY2033</t>
        </is>
      </c>
      <c r="I77" s="4" t="inlineStr">
        <is>
          <t>FY2034</t>
        </is>
      </c>
      <c r="J77" s="4" t="inlineStr">
        <is>
          <t>FY2035</t>
        </is>
      </c>
    </row>
    <row r="78">
      <c r="A78" s="5" t="inlineStr">
        <is>
          <t>Data Center revenue</t>
        </is>
      </c>
      <c r="C78" s="31">
        <f>Scenarios!B29*Inputs!$C$20</f>
        <v/>
      </c>
      <c r="D78" s="31">
        <f>Scenarios!C29*Inputs!$C$20</f>
        <v/>
      </c>
      <c r="E78" s="31">
        <f>Scenarios!D29*Inputs!$C$20</f>
        <v/>
      </c>
      <c r="F78" s="31">
        <f>Scenarios!E29*Inputs!$C$20</f>
        <v/>
      </c>
      <c r="G78" s="31">
        <f>Scenarios!F29*Inputs!$C$20</f>
        <v/>
      </c>
      <c r="H78" s="31">
        <f>Scenarios!G29*Inputs!$C$20</f>
        <v/>
      </c>
      <c r="I78" s="31">
        <f>Scenarios!H29*Inputs!$C$20</f>
        <v/>
      </c>
      <c r="J78" s="31">
        <f>Scenarios!I29*Inputs!$C$20</f>
        <v/>
      </c>
    </row>
    <row r="79">
      <c r="A79" s="5" t="inlineStr">
        <is>
          <t>Edge Computing revenue</t>
        </is>
      </c>
      <c r="C79" s="31">
        <f>Scenarios!B30</f>
        <v/>
      </c>
      <c r="D79" s="31">
        <f>Scenarios!C30</f>
        <v/>
      </c>
      <c r="E79" s="31">
        <f>Scenarios!D30</f>
        <v/>
      </c>
      <c r="F79" s="31">
        <f>Scenarios!E30</f>
        <v/>
      </c>
      <c r="G79" s="31">
        <f>Scenarios!F30</f>
        <v/>
      </c>
      <c r="H79" s="31">
        <f>Scenarios!G30</f>
        <v/>
      </c>
      <c r="I79" s="31">
        <f>Scenarios!H30</f>
        <v/>
      </c>
      <c r="J79" s="31">
        <f>Scenarios!I30</f>
        <v/>
      </c>
    </row>
    <row r="80">
      <c r="A80" s="9" t="inlineStr">
        <is>
          <t>Total revenue</t>
        </is>
      </c>
      <c r="C80" s="23">
        <f>C78+C79</f>
        <v/>
      </c>
      <c r="D80" s="23">
        <f>D78+D79</f>
        <v/>
      </c>
      <c r="E80" s="23">
        <f>E78+E79</f>
        <v/>
      </c>
      <c r="F80" s="23">
        <f>F78+F79</f>
        <v/>
      </c>
      <c r="G80" s="23">
        <f>G78+G79</f>
        <v/>
      </c>
      <c r="H80" s="23">
        <f>H78+H79</f>
        <v/>
      </c>
      <c r="I80" s="23">
        <f>I78+I79</f>
        <v/>
      </c>
      <c r="J80" s="23">
        <f>J78+J79</f>
        <v/>
      </c>
    </row>
    <row r="81">
      <c r="A81" s="5" t="inlineStr">
        <is>
          <t>Gross margin</t>
        </is>
      </c>
      <c r="C81" s="6">
        <f>Scenarios!B31</f>
        <v/>
      </c>
      <c r="D81" s="6">
        <f>Scenarios!C31</f>
        <v/>
      </c>
      <c r="E81" s="6">
        <f>Scenarios!D31</f>
        <v/>
      </c>
      <c r="F81" s="6">
        <f>Scenarios!E31</f>
        <v/>
      </c>
      <c r="G81" s="6">
        <f>Scenarios!F31</f>
        <v/>
      </c>
      <c r="H81" s="6">
        <f>Scenarios!G31</f>
        <v/>
      </c>
      <c r="I81" s="6">
        <f>Scenarios!H31</f>
        <v/>
      </c>
      <c r="J81" s="6">
        <f>Scenarios!I31</f>
        <v/>
      </c>
    </row>
    <row r="82">
      <c r="A82" s="9" t="inlineStr">
        <is>
          <t>Gross profit</t>
        </is>
      </c>
      <c r="C82" s="23">
        <f>C80*C81</f>
        <v/>
      </c>
      <c r="D82" s="23">
        <f>D80*D81</f>
        <v/>
      </c>
      <c r="E82" s="23">
        <f>E80*E81</f>
        <v/>
      </c>
      <c r="F82" s="23">
        <f>F80*F81</f>
        <v/>
      </c>
      <c r="G82" s="23">
        <f>G80*G81</f>
        <v/>
      </c>
      <c r="H82" s="23">
        <f>H80*H81</f>
        <v/>
      </c>
      <c r="I82" s="23">
        <f>I80*I81</f>
        <v/>
      </c>
      <c r="J82" s="23">
        <f>J80*J81</f>
        <v/>
      </c>
    </row>
    <row r="83">
      <c r="A83" s="5" t="inlineStr">
        <is>
          <t>Operating expenses incl. SBC</t>
        </is>
      </c>
      <c r="C83" s="31">
        <f>Scenarios!B32</f>
        <v/>
      </c>
      <c r="D83" s="31">
        <f>Scenarios!C32</f>
        <v/>
      </c>
      <c r="E83" s="31">
        <f>Scenarios!D32</f>
        <v/>
      </c>
      <c r="F83" s="31">
        <f>Scenarios!E32</f>
        <v/>
      </c>
      <c r="G83" s="31">
        <f>Scenarios!F32</f>
        <v/>
      </c>
      <c r="H83" s="31">
        <f>Scenarios!G32</f>
        <v/>
      </c>
      <c r="I83" s="31">
        <f>Scenarios!H32</f>
        <v/>
      </c>
      <c r="J83" s="31">
        <f>Scenarios!I32</f>
        <v/>
      </c>
    </row>
    <row r="84">
      <c r="A84" s="9" t="inlineStr">
        <is>
          <t>EBIT</t>
        </is>
      </c>
      <c r="C84" s="23">
        <f>C82-C83</f>
        <v/>
      </c>
      <c r="D84" s="23">
        <f>D82-D83</f>
        <v/>
      </c>
      <c r="E84" s="23">
        <f>E82-E83</f>
        <v/>
      </c>
      <c r="F84" s="23">
        <f>F82-F83</f>
        <v/>
      </c>
      <c r="G84" s="23">
        <f>G82-G83</f>
        <v/>
      </c>
      <c r="H84" s="23">
        <f>H82-H83</f>
        <v/>
      </c>
      <c r="I84" s="23">
        <f>I82-I83</f>
        <v/>
      </c>
      <c r="J84" s="23">
        <f>J82-J83</f>
        <v/>
      </c>
    </row>
    <row r="85">
      <c r="A85" s="5" t="inlineStr">
        <is>
          <t>EBIT margin</t>
        </is>
      </c>
      <c r="C85" s="8">
        <f>IF(C80=0,0,C84/C80)</f>
        <v/>
      </c>
      <c r="D85" s="8">
        <f>IF(D80=0,0,D84/D80)</f>
        <v/>
      </c>
      <c r="E85" s="8">
        <f>IF(E80=0,0,E84/E80)</f>
        <v/>
      </c>
      <c r="F85" s="8">
        <f>IF(F80=0,0,F84/F80)</f>
        <v/>
      </c>
      <c r="G85" s="8">
        <f>IF(G80=0,0,G84/G80)</f>
        <v/>
      </c>
      <c r="H85" s="8">
        <f>IF(H80=0,0,H84/H80)</f>
        <v/>
      </c>
      <c r="I85" s="8">
        <f>IF(I80=0,0,I84/I80)</f>
        <v/>
      </c>
      <c r="J85" s="8">
        <f>IF(J80=0,0,J84/J80)</f>
        <v/>
      </c>
    </row>
    <row r="86">
      <c r="A86" s="5" t="inlineStr">
        <is>
          <t>Cash tax on EBIT</t>
        </is>
      </c>
      <c r="C86" s="23">
        <f>MAX(0,C84)*Inputs!$C$19</f>
        <v/>
      </c>
      <c r="D86" s="23">
        <f>MAX(0,D84)*Inputs!$C$19</f>
        <v/>
      </c>
      <c r="E86" s="23">
        <f>MAX(0,E84)*Inputs!$C$19</f>
        <v/>
      </c>
      <c r="F86" s="23">
        <f>MAX(0,F84)*Inputs!$C$19</f>
        <v/>
      </c>
      <c r="G86" s="23">
        <f>MAX(0,G84)*Inputs!$C$19</f>
        <v/>
      </c>
      <c r="H86" s="23">
        <f>MAX(0,H84)*Inputs!$C$19</f>
        <v/>
      </c>
      <c r="I86" s="23">
        <f>MAX(0,I84)*Inputs!$C$19</f>
        <v/>
      </c>
      <c r="J86" s="23">
        <f>MAX(0,J84)*Inputs!$C$19</f>
        <v/>
      </c>
    </row>
    <row r="87">
      <c r="A87" s="5" t="inlineStr">
        <is>
          <t>D&amp;A, % of revenue</t>
        </is>
      </c>
      <c r="C87" s="6">
        <f>Scenarios!B33</f>
        <v/>
      </c>
      <c r="D87" s="6">
        <f>Scenarios!C33</f>
        <v/>
      </c>
      <c r="E87" s="6">
        <f>Scenarios!D33</f>
        <v/>
      </c>
      <c r="F87" s="6">
        <f>Scenarios!E33</f>
        <v/>
      </c>
      <c r="G87" s="6">
        <f>Scenarios!F33</f>
        <v/>
      </c>
      <c r="H87" s="6">
        <f>Scenarios!G33</f>
        <v/>
      </c>
      <c r="I87" s="6">
        <f>Scenarios!H33</f>
        <v/>
      </c>
      <c r="J87" s="6">
        <f>Scenarios!I33</f>
        <v/>
      </c>
    </row>
    <row r="88">
      <c r="A88" s="5" t="inlineStr">
        <is>
          <t>Depreciation &amp; amortization</t>
        </is>
      </c>
      <c r="C88" s="23">
        <f>C80*C87</f>
        <v/>
      </c>
      <c r="D88" s="23">
        <f>D80*D87</f>
        <v/>
      </c>
      <c r="E88" s="23">
        <f>E80*E87</f>
        <v/>
      </c>
      <c r="F88" s="23">
        <f>F80*F87</f>
        <v/>
      </c>
      <c r="G88" s="23">
        <f>G80*G87</f>
        <v/>
      </c>
      <c r="H88" s="23">
        <f>H80*H87</f>
        <v/>
      </c>
      <c r="I88" s="23">
        <f>I80*I87</f>
        <v/>
      </c>
      <c r="J88" s="23">
        <f>J80*J87</f>
        <v/>
      </c>
    </row>
    <row r="89">
      <c r="A89" s="9" t="inlineStr">
        <is>
          <t>EBITDA</t>
        </is>
      </c>
      <c r="C89" s="23">
        <f>C84+C88</f>
        <v/>
      </c>
      <c r="D89" s="23">
        <f>D84+D88</f>
        <v/>
      </c>
      <c r="E89" s="23">
        <f>E84+E88</f>
        <v/>
      </c>
      <c r="F89" s="23">
        <f>F84+F88</f>
        <v/>
      </c>
      <c r="G89" s="23">
        <f>G84+G88</f>
        <v/>
      </c>
      <c r="H89" s="23">
        <f>H84+H88</f>
        <v/>
      </c>
      <c r="I89" s="23">
        <f>I84+I88</f>
        <v/>
      </c>
      <c r="J89" s="23">
        <f>J84+J88</f>
        <v/>
      </c>
    </row>
    <row r="90">
      <c r="A90" s="5" t="inlineStr">
        <is>
          <t>Capex, % of revenue</t>
        </is>
      </c>
      <c r="C90" s="6">
        <f>Scenarios!B34</f>
        <v/>
      </c>
      <c r="D90" s="6">
        <f>Scenarios!C34</f>
        <v/>
      </c>
      <c r="E90" s="6">
        <f>Scenarios!D34</f>
        <v/>
      </c>
      <c r="F90" s="6">
        <f>Scenarios!E34</f>
        <v/>
      </c>
      <c r="G90" s="6">
        <f>Scenarios!F34</f>
        <v/>
      </c>
      <c r="H90" s="6">
        <f>Scenarios!G34</f>
        <v/>
      </c>
      <c r="I90" s="6">
        <f>Scenarios!H34</f>
        <v/>
      </c>
      <c r="J90" s="6">
        <f>Scenarios!I34</f>
        <v/>
      </c>
    </row>
    <row r="91">
      <c r="A91" s="5" t="inlineStr">
        <is>
          <t>Capital expenditures</t>
        </is>
      </c>
      <c r="C91" s="23">
        <f>C80*C90</f>
        <v/>
      </c>
      <c r="D91" s="23">
        <f>D80*D90</f>
        <v/>
      </c>
      <c r="E91" s="23">
        <f>E80*E90</f>
        <v/>
      </c>
      <c r="F91" s="23">
        <f>F80*F90</f>
        <v/>
      </c>
      <c r="G91" s="23">
        <f>G80*G90</f>
        <v/>
      </c>
      <c r="H91" s="23">
        <f>H80*H90</f>
        <v/>
      </c>
      <c r="I91" s="23">
        <f>I80*I90</f>
        <v/>
      </c>
      <c r="J91" s="23">
        <f>J80*J90</f>
        <v/>
      </c>
    </row>
    <row r="92">
      <c r="A92" s="5" t="inlineStr">
        <is>
          <t>Change in net working capital</t>
        </is>
      </c>
      <c r="C92" s="23">
        <f>Inputs!$C$37*(C80-Inputs!$C$18)</f>
        <v/>
      </c>
      <c r="D92" s="23">
        <f>Inputs!$C$37*(D80-C80)</f>
        <v/>
      </c>
      <c r="E92" s="23">
        <f>Inputs!$C$37*(E80-D80)</f>
        <v/>
      </c>
      <c r="F92" s="23">
        <f>Inputs!$C$37*(F80-E80)</f>
        <v/>
      </c>
      <c r="G92" s="23">
        <f>Inputs!$C$37*(G80-F80)</f>
        <v/>
      </c>
      <c r="H92" s="23">
        <f>Inputs!$C$37*(H80-G80)</f>
        <v/>
      </c>
      <c r="I92" s="23">
        <f>Inputs!$C$37*(I80-H80)</f>
        <v/>
      </c>
      <c r="J92" s="23">
        <f>Inputs!$C$37*(J80-I80)</f>
        <v/>
      </c>
    </row>
    <row r="93">
      <c r="A93" s="9" t="inlineStr">
        <is>
          <t>Unlevered free cash flow</t>
        </is>
      </c>
      <c r="C93" s="23">
        <f>C84-C86+C88-C91-C92</f>
        <v/>
      </c>
      <c r="D93" s="23">
        <f>D84-D86+D88-D91-D92</f>
        <v/>
      </c>
      <c r="E93" s="23">
        <f>E84-E86+E88-E91-E92</f>
        <v/>
      </c>
      <c r="F93" s="23">
        <f>F84-F86+F88-F91-F92</f>
        <v/>
      </c>
      <c r="G93" s="23">
        <f>G84-G86+G88-G91-G92</f>
        <v/>
      </c>
      <c r="H93" s="23">
        <f>H84-H86+H88-H91-H92</f>
        <v/>
      </c>
      <c r="I93" s="23">
        <f>I84-I86+I88-I91-I92</f>
        <v/>
      </c>
      <c r="J93" s="23">
        <f>J84-J86+J88-J91-J92</f>
        <v/>
      </c>
    </row>
    <row r="94">
      <c r="A94" s="5" t="inlineStr">
        <is>
          <t>Discount period (years)</t>
        </is>
      </c>
      <c r="C94" s="32">
        <f>2028+0.5-Inputs!$C$17</f>
        <v/>
      </c>
      <c r="D94" s="32">
        <f>2029+0.5-Inputs!$C$17</f>
        <v/>
      </c>
      <c r="E94" s="32">
        <f>2030+0.5-Inputs!$C$17</f>
        <v/>
      </c>
      <c r="F94" s="32">
        <f>2031+0.5-Inputs!$C$17</f>
        <v/>
      </c>
      <c r="G94" s="32">
        <f>2032+0.5-Inputs!$C$17</f>
        <v/>
      </c>
      <c r="H94" s="32">
        <f>2033+0.5-Inputs!$C$17</f>
        <v/>
      </c>
      <c r="I94" s="32">
        <f>2034+0.5-Inputs!$C$17</f>
        <v/>
      </c>
      <c r="J94" s="32">
        <f>2035+0.5-Inputs!$C$17</f>
        <v/>
      </c>
    </row>
    <row r="95">
      <c r="A95" s="5" t="inlineStr">
        <is>
          <t>Discount factor</t>
        </is>
      </c>
      <c r="C95" s="33">
        <f>1/(1+Inputs!$C$31)^C94</f>
        <v/>
      </c>
      <c r="D95" s="33">
        <f>1/(1+Inputs!$C$31)^D94</f>
        <v/>
      </c>
      <c r="E95" s="33">
        <f>1/(1+Inputs!$C$31)^E94</f>
        <v/>
      </c>
      <c r="F95" s="33">
        <f>1/(1+Inputs!$C$31)^F94</f>
        <v/>
      </c>
      <c r="G95" s="33">
        <f>1/(1+Inputs!$C$31)^G94</f>
        <v/>
      </c>
      <c r="H95" s="33">
        <f>1/(1+Inputs!$C$31)^H94</f>
        <v/>
      </c>
      <c r="I95" s="33">
        <f>1/(1+Inputs!$C$31)^I94</f>
        <v/>
      </c>
      <c r="J95" s="33">
        <f>1/(1+Inputs!$C$31)^J94</f>
        <v/>
      </c>
    </row>
    <row r="96">
      <c r="A96" s="9" t="inlineStr">
        <is>
          <t>PV of unlevered FCF</t>
        </is>
      </c>
      <c r="C96" s="23">
        <f>C93*C95</f>
        <v/>
      </c>
      <c r="D96" s="23">
        <f>D93*D95</f>
        <v/>
      </c>
      <c r="E96" s="23">
        <f>E93*E95</f>
        <v/>
      </c>
      <c r="F96" s="23">
        <f>F93*F95</f>
        <v/>
      </c>
      <c r="G96" s="23">
        <f>G93*G95</f>
        <v/>
      </c>
      <c r="H96" s="23">
        <f>H93*H95</f>
        <v/>
      </c>
      <c r="I96" s="23">
        <f>I93*I95</f>
        <v/>
      </c>
      <c r="J96" s="23">
        <f>J93*J95</f>
        <v/>
      </c>
    </row>
    <row r="98">
      <c r="A98" s="5" t="inlineStr">
        <is>
          <t>Normalized terminal FCF (2035)</t>
        </is>
      </c>
      <c r="C98" s="23">
        <f>J84*(1-Inputs!$C$35)+J88*(1-Inputs!$C$36)-Inputs!$C$37*J80*Inputs!$C$34</f>
        <v/>
      </c>
    </row>
    <row r="99">
      <c r="A99" s="5" t="inlineStr">
        <is>
          <t>Terminal value, exit multiple</t>
        </is>
      </c>
      <c r="C99" s="23">
        <f>J89*Inputs!$C$33</f>
        <v/>
      </c>
    </row>
    <row r="100">
      <c r="A100" s="5" t="inlineStr">
        <is>
          <t>Terminal value, perpetual growth (cross-check)</t>
        </is>
      </c>
      <c r="C100" s="23">
        <f>$C$98*(1+Inputs!$C$34)/(Inputs!$C$31-Inputs!$C$34)</f>
        <v/>
      </c>
    </row>
    <row r="101">
      <c r="A101" s="5" t="inlineStr">
        <is>
          <t>PV of FY2028-FY2035 FCF + H2 FY2027 stub</t>
        </is>
      </c>
      <c r="C101" s="23">
        <f>SUM(C96:J96)+Inputs!$C$16</f>
        <v/>
      </c>
    </row>
    <row r="102">
      <c r="A102" s="5" t="inlineStr">
        <is>
          <t>PV of terminal value (exit multiple, end-2035 value)</t>
        </is>
      </c>
      <c r="C102" s="23">
        <f>$C$99/(1+Inputs!$C$31)^(J94+0.5)</f>
        <v/>
      </c>
    </row>
    <row r="103">
      <c r="A103" s="34" t="inlineStr">
        <is>
          <t>Enterprise value</t>
        </is>
      </c>
      <c r="C103" s="35">
        <f>$C$101+$C$102</f>
        <v/>
      </c>
    </row>
    <row r="104">
      <c r="A104" s="5" t="inlineStr">
        <is>
          <t>Equity value</t>
        </is>
      </c>
      <c r="C104" s="23">
        <f>$C$103+Inputs!$C$47</f>
        <v/>
      </c>
    </row>
    <row r="105">
      <c r="A105" s="5" t="inlineStr">
        <is>
          <t>DCF value per share ($)</t>
        </is>
      </c>
      <c r="C105" s="13">
        <f>MAX(0,$C$104*1000/Inputs!$C$5)</f>
        <v/>
      </c>
    </row>
    <row r="106">
      <c r="A106" s="5" t="inlineStr">
        <is>
          <t>Strategic floor per share ($)</t>
        </is>
      </c>
      <c r="C106" s="20" t="n">
        <v>0</v>
      </c>
    </row>
    <row r="107">
      <c r="A107" s="34" t="inlineStr">
        <is>
          <t>Value per share ($)</t>
        </is>
      </c>
      <c r="C107" s="36">
        <f>MAX($C$105,$C$106)</f>
        <v/>
      </c>
    </row>
    <row r="108">
      <c r="A108" s="5" t="inlineStr">
        <is>
          <t>Cross-check: value per share at perpetual growth ($)</t>
        </is>
      </c>
      <c r="C108" s="13">
        <f>MAX(0,($C$101+$C$100*J95+Inputs!$C$47)*1000/Inputs!$C$5)</f>
        <v/>
      </c>
    </row>
    <row r="109">
      <c r="A109" s="5" t="inlineStr">
        <is>
          <t>Perpetual growth implied by the exit multiple</t>
        </is>
      </c>
      <c r="C109" s="8">
        <f>($C$99*Inputs!$C$31-$C$98)/($C$99+$C$98)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Reported results ($bn). Fiscal years end late January.</t>
        </is>
      </c>
    </row>
    <row r="3">
      <c r="A3" s="3" t="inlineStr">
        <is>
          <t>Line item</t>
        </is>
      </c>
      <c r="B3" s="4" t="inlineStr">
        <is>
          <t>FY2024</t>
        </is>
      </c>
      <c r="C3" s="4" t="inlineStr">
        <is>
          <t>FY2025</t>
        </is>
      </c>
      <c r="D3" s="4" t="inlineStr">
        <is>
          <t>FY2026</t>
        </is>
      </c>
      <c r="E3" s="4" t="inlineStr">
        <is>
          <t>Q1 FY2027</t>
        </is>
      </c>
      <c r="F3" s="4" t="inlineStr">
        <is>
          <t>Q2 FY2027</t>
        </is>
      </c>
    </row>
    <row r="4">
      <c r="A4" s="5" t="inlineStr">
        <is>
          <t>Data Center revenue</t>
        </is>
      </c>
      <c r="B4" s="22" t="n">
        <v>47.525</v>
      </c>
      <c r="C4" s="22" t="n">
        <v>115.186</v>
      </c>
      <c r="D4" s="22" t="n">
        <v>193.737</v>
      </c>
      <c r="E4" s="22" t="n">
        <v>75.246</v>
      </c>
      <c r="F4" s="22" t="n">
        <v>89.023</v>
      </c>
    </row>
    <row r="5">
      <c r="A5" s="5" t="inlineStr">
        <is>
          <t>Edge Computing / other revenue</t>
        </is>
      </c>
      <c r="B5" s="22" t="n">
        <v>13.397</v>
      </c>
      <c r="C5" s="22" t="n">
        <v>15.311</v>
      </c>
      <c r="D5" s="22" t="n">
        <v>22.201</v>
      </c>
      <c r="E5" s="22" t="n">
        <v>6.369</v>
      </c>
      <c r="F5" s="22" t="n">
        <v>7.198</v>
      </c>
    </row>
    <row r="6">
      <c r="A6" s="9" t="inlineStr">
        <is>
          <t>Total revenue</t>
        </is>
      </c>
      <c r="B6" s="23">
        <f>B4+B5</f>
        <v/>
      </c>
      <c r="C6" s="23">
        <f>C4+C5</f>
        <v/>
      </c>
      <c r="D6" s="23">
        <f>D4+D5</f>
        <v/>
      </c>
      <c r="E6" s="23">
        <f>E4+E5</f>
        <v/>
      </c>
      <c r="F6" s="23">
        <f>F4+F5</f>
        <v/>
      </c>
    </row>
    <row r="7">
      <c r="A7" s="5" t="inlineStr">
        <is>
          <t>Gross profit</t>
        </is>
      </c>
      <c r="B7" s="22" t="n">
        <v>44.301</v>
      </c>
      <c r="C7" s="22" t="n">
        <v>97.858</v>
      </c>
      <c r="D7" s="22" t="n">
        <v>153.463</v>
      </c>
      <c r="E7" s="22" t="n">
        <v>61.157</v>
      </c>
      <c r="F7" s="22" t="n">
        <v>72.142</v>
      </c>
    </row>
    <row r="8">
      <c r="A8" s="5" t="inlineStr">
        <is>
          <t>Gross margin</t>
        </is>
      </c>
      <c r="B8" s="8">
        <f>IF(B6=0,0,B7/B6)</f>
        <v/>
      </c>
      <c r="C8" s="8">
        <f>IF(C6=0,0,C7/C6)</f>
        <v/>
      </c>
      <c r="D8" s="8">
        <f>IF(D6=0,0,D7/D6)</f>
        <v/>
      </c>
      <c r="E8" s="8">
        <f>IF(E6=0,0,E7/E6)</f>
        <v/>
      </c>
      <c r="F8" s="8">
        <f>IF(F6=0,0,F7/F6)</f>
        <v/>
      </c>
    </row>
    <row r="9">
      <c r="A9" s="5" t="inlineStr">
        <is>
          <t>Operating expenses</t>
        </is>
      </c>
      <c r="B9" s="22" t="n">
        <v>11.329</v>
      </c>
      <c r="C9" s="22" t="n">
        <v>16.405</v>
      </c>
      <c r="D9" s="22" t="n">
        <v>23.076</v>
      </c>
      <c r="E9" s="22" t="n">
        <v>7.621</v>
      </c>
      <c r="F9" s="22" t="n">
        <v>8.407999999999999</v>
      </c>
    </row>
    <row r="10">
      <c r="A10" s="9" t="inlineStr">
        <is>
          <t>Operating income</t>
        </is>
      </c>
      <c r="B10" s="22" t="n">
        <v>32.972</v>
      </c>
      <c r="C10" s="22" t="n">
        <v>81.453</v>
      </c>
      <c r="D10" s="22" t="n">
        <v>130.387</v>
      </c>
      <c r="E10" s="22" t="n">
        <v>53.536</v>
      </c>
      <c r="F10" s="22" t="n">
        <v>63.734</v>
      </c>
    </row>
    <row r="11">
      <c r="A11" s="5" t="inlineStr">
        <is>
          <t>Net income (incl. equity-investment gains)</t>
        </is>
      </c>
      <c r="B11" s="22" t="n">
        <v>29.76</v>
      </c>
      <c r="C11" s="22" t="n">
        <v>72.88</v>
      </c>
      <c r="D11" s="22" t="n">
        <v>120.067</v>
      </c>
      <c r="E11" s="22" t="n">
        <v>58.321</v>
      </c>
      <c r="F11" s="22" t="n">
        <v>59.688</v>
      </c>
    </row>
    <row r="12">
      <c r="A12" s="5" t="inlineStr">
        <is>
          <t>Stock-based compensation</t>
        </is>
      </c>
      <c r="B12" s="22" t="n">
        <v>3.549</v>
      </c>
      <c r="C12" s="22" t="n">
        <v>4.737</v>
      </c>
      <c r="D12" s="22" t="n">
        <v>6.386</v>
      </c>
      <c r="E12" s="22" t="n">
        <v>1.927</v>
      </c>
      <c r="F12" s="22" t="n">
        <v>2.027</v>
      </c>
    </row>
    <row r="13">
      <c r="A13" s="5" t="inlineStr">
        <is>
          <t>Depreciation &amp; amortization</t>
        </is>
      </c>
      <c r="B13" s="22" t="n">
        <v>1.508</v>
      </c>
      <c r="C13" s="22" t="n">
        <v>1.864</v>
      </c>
      <c r="D13" s="22" t="n">
        <v>2.843</v>
      </c>
      <c r="E13" s="22" t="n">
        <v>0.997</v>
      </c>
      <c r="F13" s="22" t="n">
        <v>1.127</v>
      </c>
    </row>
    <row r="14">
      <c r="A14" s="5" t="inlineStr">
        <is>
          <t>Capital expenditures</t>
        </is>
      </c>
      <c r="B14" s="22" t="n">
        <v>1.069</v>
      </c>
      <c r="C14" s="22" t="n">
        <v>3.236</v>
      </c>
      <c r="D14" s="22" t="n">
        <v>6.042</v>
      </c>
      <c r="E14" s="22" t="n">
        <v>1.757</v>
      </c>
      <c r="F14" s="22" t="n">
        <v>2.677</v>
      </c>
    </row>
    <row r="15">
      <c r="A15" s="5" t="inlineStr">
        <is>
          <t>Free cash flow (company definition)</t>
        </is>
      </c>
      <c r="B15" s="22" t="n">
        <v>26.947</v>
      </c>
      <c r="C15" s="22" t="n">
        <v>60.724</v>
      </c>
      <c r="D15" s="22" t="n">
        <v>96.575</v>
      </c>
      <c r="E15" s="22" t="n">
        <v>48.554</v>
      </c>
      <c r="F15" s="22" t="n">
        <v>21.341</v>
      </c>
    </row>
    <row r="16">
      <c r="A16" s="5" t="inlineStr">
        <is>
          <t>Share repurchases</t>
        </is>
      </c>
      <c r="B16" s="22" t="n">
        <v>9.532999999999999</v>
      </c>
      <c r="C16" s="22" t="n">
        <v>33.706</v>
      </c>
      <c r="D16" s="22" t="n">
        <v>40.086</v>
      </c>
      <c r="E16" s="22" t="n">
        <v>19.312</v>
      </c>
      <c r="F16" s="22" t="n">
        <v>19.732</v>
      </c>
    </row>
    <row r="19">
      <c r="A19" s="9" t="inlineStr">
        <is>
          <t>Sources</t>
        </is>
      </c>
    </row>
    <row r="20">
      <c r="A20" s="2" t="inlineStr">
        <is>
          <t>FY2024-FY2026: FY2026 10-K, filed 2026-02-25, https://www.sec.gov/Archives/edgar/data/1045810/000104581026000021/nvda-20260125.htm and Q4 FY26 CFO commentary.</t>
        </is>
      </c>
    </row>
    <row r="21">
      <c r="A21" s="2" t="inlineStr">
        <is>
          <t>Q1 FY2027: Q1 FY27 CFO commentary (8-K, 2026-05-20) and Q2 FY27 10-Q six-month figures less Q2.</t>
        </is>
      </c>
    </row>
    <row r="22">
      <c r="A22" s="2" t="inlineStr">
        <is>
          <t>Q2 FY2027: Q2 FY2027 10-Q (quarter ended 2026-07-26, filed 2026-08-26), https://www.sec.gov/Archives/edgar/data/1045810/000104581026000075/nvda-20260726.htm</t>
        </is>
      </c>
    </row>
    <row r="23">
      <c r="A23" s="2" t="inlineStr">
        <is>
          <t>Edge for FY2024-FY2026 = total revenue less Data Center (Gaming, Pro Visualization, Automotive, OEM &amp; other); NVIDIA recast to Edge Computing from Q1 FY2027.</t>
        </is>
      </c>
    </row>
    <row r="24">
      <c r="A24" s="2" t="inlineStr">
        <is>
          <t>Free cash flow = operating cash flow less capex less principal payments on property and equipment (NVIDIA definition).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2026-10-16T20:17:47Z</dcterms:created>
  <dcterms:modified xmlns:dcterms="http://purl.org/dc/terms/" xmlns:xsi="http://www.w3.org/2001/XMLSchema-instance" xsi:type="dcterms:W3CDTF">2026-10-16T20:17:47Z</dcterms:modified>
</cp:coreProperties>
</file>