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luation"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Model" sheetId="4" state="visible" r:id="rId4"/>
    <sheet xmlns:r="http://schemas.openxmlformats.org/officeDocument/2006/relationships" name="History" sheetId="5" state="visible" r:id="rId5"/>
  </sheets>
  <definedNames/>
  <calcPr calcId="124519" fullCalcOnLoad="1"/>
</workbook>
</file>

<file path=xl/styles.xml><?xml version="1.0" encoding="utf-8"?>
<styleSheet xmlns="http://schemas.openxmlformats.org/spreadsheetml/2006/main">
  <numFmts count="7">
    <numFmt numFmtId="164" formatCode="$#,##0.00"/>
    <numFmt numFmtId="165" formatCode="$#,##0.00;($#,##0.00);&quot;-&quot;"/>
    <numFmt numFmtId="166" formatCode="0.0%;(0.0%);&quot;-&quot;"/>
    <numFmt numFmtId="167" formatCode="0.0&quot;x&quot;"/>
    <numFmt numFmtId="168" formatCode="0.00&quot;x&quot;"/>
    <numFmt numFmtId="169" formatCode="#,##0.0;(#,##0.0);&quot;-&quot;"/>
    <numFmt numFmtId="170" formatCode="0.000"/>
  </numFmts>
  <fonts count="8">
    <font>
      <name val="Calibri"/>
      <family val="2"/>
      <color theme="1"/>
      <sz val="11"/>
      <scheme val="minor"/>
    </font>
    <font>
      <name val="Arial"/>
      <b val="1"/>
      <sz val="16"/>
    </font>
    <font>
      <name val="Arial"/>
      <i val="1"/>
      <color rgb="00555555"/>
      <sz val="10"/>
    </font>
    <font>
      <name val="Arial"/>
      <b val="1"/>
      <sz val="10"/>
    </font>
    <font>
      <name val="Arial"/>
      <color rgb="00000000"/>
      <sz val="10"/>
    </font>
    <font>
      <name val="Arial"/>
      <color rgb="000000FF"/>
      <sz val="10"/>
    </font>
    <font>
      <name val="Arial"/>
      <b val="1"/>
      <color rgb="00FFFFFF"/>
      <sz val="10"/>
    </font>
    <font>
      <name val="Arial"/>
      <color rgb="00008000"/>
      <sz val="10"/>
    </font>
  </fonts>
  <fills count="5">
    <fill>
      <patternFill/>
    </fill>
    <fill>
      <patternFill patternType="gray125"/>
    </fill>
    <fill>
      <patternFill patternType="solid">
        <fgColor rgb="00F2F2F2"/>
      </patternFill>
    </fill>
    <fill>
      <patternFill patternType="solid">
        <fgColor rgb="00FFFF00"/>
      </patternFill>
    </fill>
    <fill>
      <patternFill patternType="solid">
        <fgColor rgb="000A0A0A"/>
      </patternFill>
    </fill>
  </fills>
  <borders count="2">
    <border>
      <left/>
      <right/>
      <top/>
      <bottom/>
      <diagonal/>
    </border>
    <border>
      <top style="thin">
        <color rgb="00BFBFBF"/>
      </top>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6" fillId="4" borderId="0" applyAlignment="1" pivotButton="0" quotePrefix="0" xfId="0">
      <alignment horizontal="left"/>
    </xf>
    <xf numFmtId="0" fontId="6" fillId="4" borderId="0" applyAlignment="1" pivotButton="0" quotePrefix="0" xfId="0">
      <alignment horizontal="center"/>
    </xf>
    <xf numFmtId="0" fontId="4" fillId="0" borderId="0" pivotButton="0" quotePrefix="0" xfId="0"/>
    <xf numFmtId="166" fontId="7" fillId="0" borderId="0" pivotButton="0" quotePrefix="0" xfId="0"/>
    <xf numFmtId="164" fontId="7" fillId="0" borderId="0" pivotButton="0" quotePrefix="0" xfId="0"/>
    <xf numFmtId="166" fontId="4" fillId="0" borderId="0" pivotButton="0" quotePrefix="0" xfId="0"/>
    <xf numFmtId="0" fontId="3" fillId="0" borderId="0" pivotButton="0" quotePrefix="0" xfId="0"/>
    <xf numFmtId="164" fontId="4" fillId="3" borderId="0" pivotButton="0" quotePrefix="0" xfId="0"/>
    <xf numFmtId="0" fontId="4" fillId="3" borderId="0" pivotButton="0" quotePrefix="0" xfId="0"/>
    <xf numFmtId="164" fontId="4" fillId="0" borderId="0" pivotButton="0" quotePrefix="0" xfId="0"/>
    <xf numFmtId="167" fontId="6" fillId="4" borderId="0" applyAlignment="1" pivotButton="0" quotePrefix="0" xfId="0">
      <alignment horizontal="center"/>
    </xf>
    <xf numFmtId="166" fontId="5" fillId="0" borderId="0" pivotButton="0" quotePrefix="0" xfId="0"/>
    <xf numFmtId="167" fontId="5" fillId="0" borderId="0" pivotButton="0" quotePrefix="0" xfId="0"/>
    <xf numFmtId="167" fontId="7" fillId="0" borderId="0" pivotButton="0" quotePrefix="0" xfId="0"/>
    <xf numFmtId="0" fontId="3" fillId="2" borderId="0" pivotButton="0" quotePrefix="0" xfId="0"/>
    <xf numFmtId="0" fontId="0" fillId="2" borderId="0" pivotButton="0" quotePrefix="0" xfId="0"/>
    <xf numFmtId="164" fontId="5" fillId="0" borderId="0" pivotButton="0" quotePrefix="0" xfId="0"/>
    <xf numFmtId="3" fontId="5" fillId="0" borderId="0" pivotButton="0" quotePrefix="0" xfId="0"/>
    <xf numFmtId="165" fontId="5" fillId="0" borderId="0" pivotButton="0" quotePrefix="0" xfId="0"/>
    <xf numFmtId="165" fontId="4" fillId="0" borderId="0" pivotButton="0" quotePrefix="0" xfId="0"/>
    <xf numFmtId="2" fontId="5" fillId="0" borderId="0" pivotButton="0" quotePrefix="0" xfId="0"/>
    <xf numFmtId="166" fontId="5" fillId="3" borderId="0" pivotButton="0" quotePrefix="0" xfId="0"/>
    <xf numFmtId="166" fontId="4" fillId="3" borderId="0" pivotButton="0" quotePrefix="0" xfId="0"/>
    <xf numFmtId="167" fontId="5" fillId="3" borderId="0" pivotButton="0" quotePrefix="0" xfId="0"/>
    <xf numFmtId="168" fontId="5" fillId="0" borderId="0" pivotButton="0" quotePrefix="0" xfId="0"/>
    <xf numFmtId="169" fontId="5" fillId="0" borderId="0" pivotButton="0" quotePrefix="0" xfId="0"/>
    <xf numFmtId="169" fontId="7" fillId="0" borderId="0" pivotButton="0" quotePrefix="0" xfId="0"/>
    <xf numFmtId="165" fontId="7" fillId="0" borderId="0" pivotButton="0" quotePrefix="0" xfId="0"/>
    <xf numFmtId="2" fontId="4" fillId="0" borderId="0" pivotButton="0" quotePrefix="0" xfId="0"/>
    <xf numFmtId="170" fontId="4" fillId="0" borderId="0" pivotButton="0" quotePrefix="0" xfId="0"/>
    <xf numFmtId="0" fontId="3" fillId="0" borderId="1" pivotButton="0" quotePrefix="0" xfId="0"/>
    <xf numFmtId="165" fontId="4" fillId="0" borderId="1" pivotButton="0" quotePrefix="0" xfId="0"/>
    <xf numFmtId="164" fontId="4" fillId="3" borderId="1" pivotButton="0" quotePrefix="0" xfId="0"/>
    <xf numFmtId="165"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Phat Ngo</author>
  </authors>
  <commentList>
    <comment ref="C4" authorId="0" shapeId="0">
      <text>
        <t>Source: Yahoo Finance via the site price feed, close/last on 2026-10-16. Update to today's price.</t>
      </text>
    </comment>
    <comment ref="C5" authorId="0" shapeId="0">
      <text>
        <t>Source: Q2 2026 10-Q balance sheet, 1,362mm shares at 2026-06-30, plus 86.25mm sold in July 2026 (8-K, 2026-07-08). Excludes out-of-the-money converts.</t>
      </text>
    </comment>
    <comment ref="C6" authorId="0" shapeId="0">
      <text>
        <t>Source: Q2 2026 earnings release (8-K Ex. 99.1, 2026-07-30): $5.310bn at 2026-06-30, plus $1.317bn net proceeds from the July 2026 offering.</t>
      </text>
    </comment>
    <comment ref="C7" authorId="0" shapeId="0">
      <text>
        <t>Source: Q2 2026 earnings release, long-term debt $4.444bn at 2026-06-30. The $1.0bn VW-JV loan (Oct 2026) adds equal cash and debt, so it is excluded from both.</t>
      </text>
    </comment>
    <comment ref="C11" authorId="0" shapeId="0">
      <text>
        <t>Author estimate. H1 2026 free cash flow was ($1.924bn): ($1.075bn) Q1 and ($0.849bn) Q2, per the Q2 2026 earnings release.</t>
      </text>
    </comment>
    <comment ref="C12" authorId="0" shapeId="0">
      <text>
        <t>2026-10-16</t>
      </text>
    </comment>
    <comment ref="C13" authorId="0" shapeId="0">
      <text>
        <t>Author estimate: H1 2026 reported $3.039bn plus H2 estimate. Used for 2027 working-capital change.</t>
      </text>
    </comment>
    <comment ref="C15" authorId="0" shapeId="0">
      <text>
        <t>Source: US 10-year Treasury, FRED DGS10, ~5.2% in mid-October 2026 (site Markets page).</t>
      </text>
    </comment>
    <comment ref="C16" authorId="0" shapeId="0">
      <text>
        <t>Measured: two-year daily RIVN returns vs iShares Core S&amp;P 500 (IVV), 500 observations to 2026-10-16, computed from the site price feed.</t>
      </text>
    </comment>
    <comment ref="C17" authorId="0" shapeId="0">
      <text>
        <t>Author assumption, in line with commonly used implied ERP estimates of 4.5-5.5%.</t>
      </text>
    </comment>
    <comment ref="C19" authorId="0" shapeId="0">
      <text>
        <t>VW-JV loan fixed 6.03% (Oct 2026); convertible coupons 3.6-4.6%; secured notes higher. 6.0% blended.</t>
      </text>
    </comment>
    <comment ref="C23" authorId="0" shapeId="0">
      <text>
        <t>Author judgment for a pre-profit manufacturer still building a second plant.</t>
      </text>
    </comment>
    <comment ref="C26" authorId="0" shapeId="0">
      <text>
        <t>Author judgment: above mature automakers (3-6x), far below Tesla. Tested 6-14x on the Valuation sheet.</t>
      </text>
    </comment>
    <comment ref="C28" authorId="0" shapeId="0">
      <text>
        <t>US federal statutory rate; NOLs assumed to shelter cash taxes through 2035.</t>
      </text>
    </comment>
    <comment ref="C32" authorId="0" shapeId="0">
      <text>
        <t>Author judgment.</t>
      </text>
    </comment>
    <comment ref="C33" authorId="0" shapeId="0">
      <text>
        <t>Author judgment.</t>
      </text>
    </comment>
    <comment ref="C34" authorId="0" shapeId="0">
      <text>
        <t>Author judgment.</t>
      </text>
    </comment>
    <comment ref="C35" authorId="0" shapeId="0">
      <text>
        <t>Strategic/asset floor: below the ~0.8x NTM EV/sales median for traditional automakers (TIKR, 2026).</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F33"/>
  <sheetViews>
    <sheetView showGridLines="0" workbookViewId="0">
      <selection activeCell="A1" sqref="A1"/>
    </sheetView>
  </sheetViews>
  <sheetFormatPr baseColWidth="8" defaultRowHeight="15"/>
  <cols>
    <col width="64" customWidth="1" min="1" max="1"/>
    <col width="13" customWidth="1" min="2" max="2"/>
    <col width="13" customWidth="1" min="3" max="3"/>
    <col width="13" customWidth="1" min="4" max="4"/>
    <col width="13" customWidth="1" min="5" max="5"/>
    <col width="13" customWidth="1" min="6" max="6"/>
  </cols>
  <sheetData>
    <row r="1">
      <c r="A1" s="1" t="inlineStr">
        <is>
          <t>Rivian Automotive (RIVN) — valuation summary</t>
        </is>
      </c>
    </row>
    <row r="2">
      <c r="A2" s="2" t="inlineStr">
        <is>
          <t>Phat Ngo · Initiation · prices as of 2026-10-16 · personal research, not investment advice</t>
        </is>
      </c>
    </row>
    <row r="4">
      <c r="A4" s="3" t="inlineStr">
        <is>
          <t>Scenario</t>
        </is>
      </c>
      <c r="B4" s="4" t="inlineStr">
        <is>
          <t>Probability</t>
        </is>
      </c>
      <c r="C4" s="4" t="inlineStr">
        <is>
          <t>Value / share</t>
        </is>
      </c>
      <c r="D4" s="4" t="inlineStr">
        <is>
          <t>vs price</t>
        </is>
      </c>
    </row>
    <row r="5">
      <c r="A5" s="5" t="inlineStr">
        <is>
          <t>Bear</t>
        </is>
      </c>
      <c r="B5" s="6">
        <f>Inputs!$C$32</f>
        <v/>
      </c>
      <c r="C5" s="7">
        <f>Model!$C$38</f>
        <v/>
      </c>
      <c r="D5" s="8">
        <f>C5/Inputs!$C$4-1</f>
        <v/>
      </c>
    </row>
    <row r="6">
      <c r="A6" s="5" t="inlineStr">
        <is>
          <t>Base</t>
        </is>
      </c>
      <c r="B6" s="6">
        <f>Inputs!$C$33</f>
        <v/>
      </c>
      <c r="C6" s="7">
        <f>Model!$C$77</f>
        <v/>
      </c>
      <c r="D6" s="8">
        <f>C6/Inputs!$C$4-1</f>
        <v/>
      </c>
    </row>
    <row r="7">
      <c r="A7" s="5" t="inlineStr">
        <is>
          <t>Bull</t>
        </is>
      </c>
      <c r="B7" s="6">
        <f>Inputs!$C$34</f>
        <v/>
      </c>
      <c r="C7" s="7">
        <f>Model!$C$116</f>
        <v/>
      </c>
      <c r="D7" s="8">
        <f>C7/Inputs!$C$4-1</f>
        <v/>
      </c>
    </row>
    <row r="9">
      <c r="A9" s="9" t="inlineStr">
        <is>
          <t>Probability-weighted fair value ($)</t>
        </is>
      </c>
      <c r="C9" s="10">
        <f>SUMPRODUCT(B5:B7,C5:C7)</f>
        <v/>
      </c>
    </row>
    <row r="10">
      <c r="A10" s="5" t="inlineStr">
        <is>
          <t>Current price ($)</t>
        </is>
      </c>
      <c r="C10" s="7">
        <f>Inputs!$C$4</f>
        <v/>
      </c>
    </row>
    <row r="11">
      <c r="A11" s="5" t="inlineStr">
        <is>
          <t>Expected return to fair value</t>
        </is>
      </c>
      <c r="C11" s="8">
        <f>C9/C10-1</f>
        <v/>
      </c>
    </row>
    <row r="12">
      <c r="A12" s="5" t="inlineStr">
        <is>
          <t>Hurdle: cost of equity</t>
        </is>
      </c>
      <c r="C12" s="6">
        <f>Inputs!$C$18</f>
        <v/>
      </c>
    </row>
    <row r="13">
      <c r="A13" s="9" t="inlineStr">
        <is>
          <t>Rating (rule: &gt;10 pts above hurdle Outperform, &gt;10 below Underperform)</t>
        </is>
      </c>
      <c r="C13" s="11">
        <f>IF(C11&gt;C12+0.1,"Outperform",IF(C11&lt;C12-0.1,"Underperform","Neutral"))</f>
        <v/>
      </c>
    </row>
    <row r="14">
      <c r="A14" s="5" t="inlineStr">
        <is>
          <t>Price below which the rule reads Outperform ($)</t>
        </is>
      </c>
      <c r="C14" s="12">
        <f>C9/(1+C12+0.1)</f>
        <v/>
      </c>
    </row>
    <row r="15">
      <c r="A15" s="5" t="inlineStr">
        <is>
          <t>Price above which the rule reads Underperform ($)</t>
        </is>
      </c>
      <c r="C15" s="12">
        <f>C9/(1+C12-0.1)</f>
        <v/>
      </c>
    </row>
    <row r="16">
      <c r="A16" s="5" t="inlineStr">
        <is>
          <t>Weights sum check (must be 100%)</t>
        </is>
      </c>
      <c r="C16" s="8">
        <f>SUM(B5:B7)</f>
        <v/>
      </c>
    </row>
    <row r="18">
      <c r="A18" s="9" t="inlineStr">
        <is>
          <t>Base case: value per share by WACC (rows) and 2035 EV/EBITDA exit multiple (columns)</t>
        </is>
      </c>
    </row>
    <row r="19">
      <c r="A19" s="3" t="inlineStr">
        <is>
          <t>WACC \ exit multiple</t>
        </is>
      </c>
      <c r="B19" s="13" t="n">
        <v>6</v>
      </c>
      <c r="C19" s="13" t="n">
        <v>8</v>
      </c>
      <c r="D19" s="13" t="n">
        <v>10</v>
      </c>
      <c r="E19" s="13" t="n">
        <v>12</v>
      </c>
      <c r="F19" s="13" t="n">
        <v>14</v>
      </c>
    </row>
    <row r="20">
      <c r="A20" s="14" t="n">
        <v>0.1</v>
      </c>
      <c r="B20" s="12">
        <f>MAX(0,(SUMPRODUCT(Model!$C$63:$K$63,(1+$A20)^(-Model!$C$64:$K$64))+Inputs!$C$11+Model!$K$60*B$19*(1+$A20)^(-(Model!$K$64+0.5))+Inputs!$C$8)*1000/Inputs!$C$5)</f>
        <v/>
      </c>
      <c r="C20" s="12">
        <f>MAX(0,(SUMPRODUCT(Model!$C$63:$K$63,(1+$A20)^(-Model!$C$64:$K$64))+Inputs!$C$11+Model!$K$60*C$19*(1+$A20)^(-(Model!$K$64+0.5))+Inputs!$C$8)*1000/Inputs!$C$5)</f>
        <v/>
      </c>
      <c r="D20" s="12">
        <f>MAX(0,(SUMPRODUCT(Model!$C$63:$K$63,(1+$A20)^(-Model!$C$64:$K$64))+Inputs!$C$11+Model!$K$60*D$19*(1+$A20)^(-(Model!$K$64+0.5))+Inputs!$C$8)*1000/Inputs!$C$5)</f>
        <v/>
      </c>
      <c r="E20" s="12">
        <f>MAX(0,(SUMPRODUCT(Model!$C$63:$K$63,(1+$A20)^(-Model!$C$64:$K$64))+Inputs!$C$11+Model!$K$60*E$19*(1+$A20)^(-(Model!$K$64+0.5))+Inputs!$C$8)*1000/Inputs!$C$5)</f>
        <v/>
      </c>
      <c r="F20" s="12">
        <f>MAX(0,(SUMPRODUCT(Model!$C$63:$K$63,(1+$A20)^(-Model!$C$64:$K$64))+Inputs!$C$11+Model!$K$60*F$19*(1+$A20)^(-(Model!$K$64+0.5))+Inputs!$C$8)*1000/Inputs!$C$5)</f>
        <v/>
      </c>
    </row>
    <row r="21">
      <c r="A21" s="14" t="n">
        <v>0.105</v>
      </c>
      <c r="B21" s="12">
        <f>MAX(0,(SUMPRODUCT(Model!$C$63:$K$63,(1+$A21)^(-Model!$C$64:$K$64))+Inputs!$C$11+Model!$K$60*B$19*(1+$A21)^(-(Model!$K$64+0.5))+Inputs!$C$8)*1000/Inputs!$C$5)</f>
        <v/>
      </c>
      <c r="C21" s="12">
        <f>MAX(0,(SUMPRODUCT(Model!$C$63:$K$63,(1+$A21)^(-Model!$C$64:$K$64))+Inputs!$C$11+Model!$K$60*C$19*(1+$A21)^(-(Model!$K$64+0.5))+Inputs!$C$8)*1000/Inputs!$C$5)</f>
        <v/>
      </c>
      <c r="D21" s="12">
        <f>MAX(0,(SUMPRODUCT(Model!$C$63:$K$63,(1+$A21)^(-Model!$C$64:$K$64))+Inputs!$C$11+Model!$K$60*D$19*(1+$A21)^(-(Model!$K$64+0.5))+Inputs!$C$8)*1000/Inputs!$C$5)</f>
        <v/>
      </c>
      <c r="E21" s="12">
        <f>MAX(0,(SUMPRODUCT(Model!$C$63:$K$63,(1+$A21)^(-Model!$C$64:$K$64))+Inputs!$C$11+Model!$K$60*E$19*(1+$A21)^(-(Model!$K$64+0.5))+Inputs!$C$8)*1000/Inputs!$C$5)</f>
        <v/>
      </c>
      <c r="F21" s="12">
        <f>MAX(0,(SUMPRODUCT(Model!$C$63:$K$63,(1+$A21)^(-Model!$C$64:$K$64))+Inputs!$C$11+Model!$K$60*F$19*(1+$A21)^(-(Model!$K$64+0.5))+Inputs!$C$8)*1000/Inputs!$C$5)</f>
        <v/>
      </c>
    </row>
    <row r="22">
      <c r="A22" s="14" t="n">
        <v>0.11</v>
      </c>
      <c r="B22" s="12">
        <f>MAX(0,(SUMPRODUCT(Model!$C$63:$K$63,(1+$A22)^(-Model!$C$64:$K$64))+Inputs!$C$11+Model!$K$60*B$19*(1+$A22)^(-(Model!$K$64+0.5))+Inputs!$C$8)*1000/Inputs!$C$5)</f>
        <v/>
      </c>
      <c r="C22" s="12">
        <f>MAX(0,(SUMPRODUCT(Model!$C$63:$K$63,(1+$A22)^(-Model!$C$64:$K$64))+Inputs!$C$11+Model!$K$60*C$19*(1+$A22)^(-(Model!$K$64+0.5))+Inputs!$C$8)*1000/Inputs!$C$5)</f>
        <v/>
      </c>
      <c r="D22" s="12">
        <f>MAX(0,(SUMPRODUCT(Model!$C$63:$K$63,(1+$A22)^(-Model!$C$64:$K$64))+Inputs!$C$11+Model!$K$60*D$19*(1+$A22)^(-(Model!$K$64+0.5))+Inputs!$C$8)*1000/Inputs!$C$5)</f>
        <v/>
      </c>
      <c r="E22" s="12">
        <f>MAX(0,(SUMPRODUCT(Model!$C$63:$K$63,(1+$A22)^(-Model!$C$64:$K$64))+Inputs!$C$11+Model!$K$60*E$19*(1+$A22)^(-(Model!$K$64+0.5))+Inputs!$C$8)*1000/Inputs!$C$5)</f>
        <v/>
      </c>
      <c r="F22" s="12">
        <f>MAX(0,(SUMPRODUCT(Model!$C$63:$K$63,(1+$A22)^(-Model!$C$64:$K$64))+Inputs!$C$11+Model!$K$60*F$19*(1+$A22)^(-(Model!$K$64+0.5))+Inputs!$C$8)*1000/Inputs!$C$5)</f>
        <v/>
      </c>
    </row>
    <row r="23">
      <c r="A23" s="14" t="n">
        <v>0.115</v>
      </c>
      <c r="B23" s="12">
        <f>MAX(0,(SUMPRODUCT(Model!$C$63:$K$63,(1+$A23)^(-Model!$C$64:$K$64))+Inputs!$C$11+Model!$K$60*B$19*(1+$A23)^(-(Model!$K$64+0.5))+Inputs!$C$8)*1000/Inputs!$C$5)</f>
        <v/>
      </c>
      <c r="C23" s="12">
        <f>MAX(0,(SUMPRODUCT(Model!$C$63:$K$63,(1+$A23)^(-Model!$C$64:$K$64))+Inputs!$C$11+Model!$K$60*C$19*(1+$A23)^(-(Model!$K$64+0.5))+Inputs!$C$8)*1000/Inputs!$C$5)</f>
        <v/>
      </c>
      <c r="D23" s="12">
        <f>MAX(0,(SUMPRODUCT(Model!$C$63:$K$63,(1+$A23)^(-Model!$C$64:$K$64))+Inputs!$C$11+Model!$K$60*D$19*(1+$A23)^(-(Model!$K$64+0.5))+Inputs!$C$8)*1000/Inputs!$C$5)</f>
        <v/>
      </c>
      <c r="E23" s="12">
        <f>MAX(0,(SUMPRODUCT(Model!$C$63:$K$63,(1+$A23)^(-Model!$C$64:$K$64))+Inputs!$C$11+Model!$K$60*E$19*(1+$A23)^(-(Model!$K$64+0.5))+Inputs!$C$8)*1000/Inputs!$C$5)</f>
        <v/>
      </c>
      <c r="F23" s="12">
        <f>MAX(0,(SUMPRODUCT(Model!$C$63:$K$63,(1+$A23)^(-Model!$C$64:$K$64))+Inputs!$C$11+Model!$K$60*F$19*(1+$A23)^(-(Model!$K$64+0.5))+Inputs!$C$8)*1000/Inputs!$C$5)</f>
        <v/>
      </c>
    </row>
    <row r="24">
      <c r="A24" s="14" t="n">
        <v>0.12</v>
      </c>
      <c r="B24" s="12">
        <f>MAX(0,(SUMPRODUCT(Model!$C$63:$K$63,(1+$A24)^(-Model!$C$64:$K$64))+Inputs!$C$11+Model!$K$60*B$19*(1+$A24)^(-(Model!$K$64+0.5))+Inputs!$C$8)*1000/Inputs!$C$5)</f>
        <v/>
      </c>
      <c r="C24" s="12">
        <f>MAX(0,(SUMPRODUCT(Model!$C$63:$K$63,(1+$A24)^(-Model!$C$64:$K$64))+Inputs!$C$11+Model!$K$60*C$19*(1+$A24)^(-(Model!$K$64+0.5))+Inputs!$C$8)*1000/Inputs!$C$5)</f>
        <v/>
      </c>
      <c r="D24" s="12">
        <f>MAX(0,(SUMPRODUCT(Model!$C$63:$K$63,(1+$A24)^(-Model!$C$64:$K$64))+Inputs!$C$11+Model!$K$60*D$19*(1+$A24)^(-(Model!$K$64+0.5))+Inputs!$C$8)*1000/Inputs!$C$5)</f>
        <v/>
      </c>
      <c r="E24" s="12">
        <f>MAX(0,(SUMPRODUCT(Model!$C$63:$K$63,(1+$A24)^(-Model!$C$64:$K$64))+Inputs!$C$11+Model!$K$60*E$19*(1+$A24)^(-(Model!$K$64+0.5))+Inputs!$C$8)*1000/Inputs!$C$5)</f>
        <v/>
      </c>
      <c r="F24" s="12">
        <f>MAX(0,(SUMPRODUCT(Model!$C$63:$K$63,(1+$A24)^(-Model!$C$64:$K$64))+Inputs!$C$11+Model!$K$60*F$19*(1+$A24)^(-(Model!$K$64+0.5))+Inputs!$C$8)*1000/Inputs!$C$5)</f>
        <v/>
      </c>
    </row>
    <row r="25">
      <c r="A25" s="14" t="n">
        <v>0.125</v>
      </c>
      <c r="B25" s="12">
        <f>MAX(0,(SUMPRODUCT(Model!$C$63:$K$63,(1+$A25)^(-Model!$C$64:$K$64))+Inputs!$C$11+Model!$K$60*B$19*(1+$A25)^(-(Model!$K$64+0.5))+Inputs!$C$8)*1000/Inputs!$C$5)</f>
        <v/>
      </c>
      <c r="C25" s="12">
        <f>MAX(0,(SUMPRODUCT(Model!$C$63:$K$63,(1+$A25)^(-Model!$C$64:$K$64))+Inputs!$C$11+Model!$K$60*C$19*(1+$A25)^(-(Model!$K$64+0.5))+Inputs!$C$8)*1000/Inputs!$C$5)</f>
        <v/>
      </c>
      <c r="D25" s="12">
        <f>MAX(0,(SUMPRODUCT(Model!$C$63:$K$63,(1+$A25)^(-Model!$C$64:$K$64))+Inputs!$C$11+Model!$K$60*D$19*(1+$A25)^(-(Model!$K$64+0.5))+Inputs!$C$8)*1000/Inputs!$C$5)</f>
        <v/>
      </c>
      <c r="E25" s="12">
        <f>MAX(0,(SUMPRODUCT(Model!$C$63:$K$63,(1+$A25)^(-Model!$C$64:$K$64))+Inputs!$C$11+Model!$K$60*E$19*(1+$A25)^(-(Model!$K$64+0.5))+Inputs!$C$8)*1000/Inputs!$C$5)</f>
        <v/>
      </c>
      <c r="F25" s="12">
        <f>MAX(0,(SUMPRODUCT(Model!$C$63:$K$63,(1+$A25)^(-Model!$C$64:$K$64))+Inputs!$C$11+Model!$K$60*F$19*(1+$A25)^(-(Model!$K$64+0.5))+Inputs!$C$8)*1000/Inputs!$C$5)</f>
        <v/>
      </c>
    </row>
    <row r="26">
      <c r="A26" s="14" t="n">
        <v>0.13</v>
      </c>
      <c r="B26" s="12">
        <f>MAX(0,(SUMPRODUCT(Model!$C$63:$K$63,(1+$A26)^(-Model!$C$64:$K$64))+Inputs!$C$11+Model!$K$60*B$19*(1+$A26)^(-(Model!$K$64+0.5))+Inputs!$C$8)*1000/Inputs!$C$5)</f>
        <v/>
      </c>
      <c r="C26" s="12">
        <f>MAX(0,(SUMPRODUCT(Model!$C$63:$K$63,(1+$A26)^(-Model!$C$64:$K$64))+Inputs!$C$11+Model!$K$60*C$19*(1+$A26)^(-(Model!$K$64+0.5))+Inputs!$C$8)*1000/Inputs!$C$5)</f>
        <v/>
      </c>
      <c r="D26" s="12">
        <f>MAX(0,(SUMPRODUCT(Model!$C$63:$K$63,(1+$A26)^(-Model!$C$64:$K$64))+Inputs!$C$11+Model!$K$60*D$19*(1+$A26)^(-(Model!$K$64+0.5))+Inputs!$C$8)*1000/Inputs!$C$5)</f>
        <v/>
      </c>
      <c r="E26" s="12">
        <f>MAX(0,(SUMPRODUCT(Model!$C$63:$K$63,(1+$A26)^(-Model!$C$64:$K$64))+Inputs!$C$11+Model!$K$60*E$19*(1+$A26)^(-(Model!$K$64+0.5))+Inputs!$C$8)*1000/Inputs!$C$5)</f>
        <v/>
      </c>
      <c r="F26" s="12">
        <f>MAX(0,(SUMPRODUCT(Model!$C$63:$K$63,(1+$A26)^(-Model!$C$64:$K$64))+Inputs!$C$11+Model!$K$60*F$19*(1+$A26)^(-(Model!$K$64+0.5))+Inputs!$C$8)*1000/Inputs!$C$5)</f>
        <v/>
      </c>
    </row>
    <row r="28">
      <c r="A28" s="9" t="inlineStr">
        <is>
          <t>Comparable trading multiples (dated; for context, not inputs)</t>
        </is>
      </c>
    </row>
    <row r="29">
      <c r="A29" s="3" t="inlineStr">
        <is>
          <t>Company</t>
        </is>
      </c>
      <c r="B29" s="4" t="inlineStr">
        <is>
          <t>EV / sales</t>
        </is>
      </c>
      <c r="C29" s="4" t="inlineStr">
        <is>
          <t>Basis</t>
        </is>
      </c>
      <c r="D29" s="4" t="inlineStr">
        <is>
          <t>Source</t>
        </is>
      </c>
    </row>
    <row r="30">
      <c r="A30" s="5" t="inlineStr">
        <is>
          <t>Tesla (TSLA)</t>
        </is>
      </c>
      <c r="B30" s="15" t="n">
        <v>14.1</v>
      </c>
      <c r="C30" s="5" t="inlineStr">
        <is>
          <t>LTM, Oct 2026</t>
        </is>
      </c>
      <c r="D30" s="2" t="inlineStr">
        <is>
          <t>multiples.vc, Oct 2026</t>
        </is>
      </c>
    </row>
    <row r="31">
      <c r="A31" s="5" t="inlineStr">
        <is>
          <t>Lucid (LCID)</t>
        </is>
      </c>
      <c r="B31" s="15" t="n">
        <v>2.8</v>
      </c>
      <c r="C31" s="5" t="inlineStr">
        <is>
          <t>NTM</t>
        </is>
      </c>
      <c r="D31" s="2" t="inlineStr">
        <is>
          <t>TIKR, 2026</t>
        </is>
      </c>
    </row>
    <row r="32">
      <c r="A32" s="5" t="inlineStr">
        <is>
          <t>Traditional automakers, median</t>
        </is>
      </c>
      <c r="B32" s="15" t="n">
        <v>0.84</v>
      </c>
      <c r="C32" s="5" t="inlineStr">
        <is>
          <t>NTM</t>
        </is>
      </c>
      <c r="D32" s="2" t="inlineStr">
        <is>
          <t>TIKR, 2026</t>
        </is>
      </c>
    </row>
    <row r="33">
      <c r="A33" s="9" t="inlineStr">
        <is>
          <t>Rivian (RIVN), at the current price</t>
        </is>
      </c>
      <c r="B33" s="16">
        <f>Inputs!$C$10/Inputs!$C$13</f>
        <v/>
      </c>
      <c r="C33" s="5" t="inlineStr">
        <is>
          <t>2026E revenue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showGridLines="0" workbookViewId="0">
      <selection activeCell="A1" sqref="A1"/>
    </sheetView>
  </sheetViews>
  <sheetFormatPr baseColWidth="8" defaultRowHeight="15"/>
  <cols>
    <col width="46" customWidth="1" min="1" max="1"/>
    <col width="14" customWidth="1" min="3" max="3"/>
  </cols>
  <sheetData>
    <row r="1">
      <c r="A1" s="1" t="inlineStr">
        <is>
          <t>Rivian Automotive (RIVN) — inputs</t>
        </is>
      </c>
    </row>
    <row r="2">
      <c r="A2" s="2" t="inlineStr">
        <is>
          <t>Blue = hardcoded input (change these). Black = formula. Green = link from another sheet. Yellow = key judgment call.</t>
        </is>
      </c>
    </row>
    <row r="3">
      <c r="A3" s="17" t="inlineStr">
        <is>
          <t>Market</t>
        </is>
      </c>
      <c r="C3" s="18" t="n"/>
    </row>
    <row r="4">
      <c r="A4" s="5" t="inlineStr">
        <is>
          <t>Share price ($)</t>
        </is>
      </c>
      <c r="C4" s="19" t="n">
        <v>12.95</v>
      </c>
    </row>
    <row r="5">
      <c r="A5" s="5" t="inlineStr">
        <is>
          <t>Shares outstanding (mm)</t>
        </is>
      </c>
      <c r="C5" s="20" t="n">
        <v>1448</v>
      </c>
    </row>
    <row r="6">
      <c r="A6" s="5" t="inlineStr">
        <is>
          <t>Cash + short-term investments, pro forma ($bn)</t>
        </is>
      </c>
      <c r="C6" s="21" t="n">
        <v>6.627</v>
      </c>
    </row>
    <row r="7">
      <c r="A7" s="5" t="inlineStr">
        <is>
          <t>Debt ($bn)</t>
        </is>
      </c>
      <c r="C7" s="21" t="n">
        <v>4.444</v>
      </c>
    </row>
    <row r="8">
      <c r="A8" s="5" t="inlineStr">
        <is>
          <t>Net cash ($bn)</t>
        </is>
      </c>
      <c r="C8" s="22">
        <f>C6-C7</f>
        <v/>
      </c>
    </row>
    <row r="9">
      <c r="A9" s="5" t="inlineStr">
        <is>
          <t>Market capitalization ($bn)</t>
        </is>
      </c>
      <c r="C9" s="22">
        <f>C4*C5/1000</f>
        <v/>
      </c>
    </row>
    <row r="10">
      <c r="A10" s="5" t="inlineStr">
        <is>
          <t>Enterprise value ($bn)</t>
        </is>
      </c>
      <c r="C10" s="22">
        <f>C9-C8</f>
        <v/>
      </c>
    </row>
    <row r="11">
      <c r="A11" s="5" t="inlineStr">
        <is>
          <t>H2 2026 unlevered FCF, estimate ($bn)</t>
        </is>
      </c>
      <c r="C11" s="21" t="n">
        <v>-1.7</v>
      </c>
    </row>
    <row r="12">
      <c r="A12" s="5" t="inlineStr">
        <is>
          <t>Valuation date (decimal year)</t>
        </is>
      </c>
      <c r="C12" s="23" t="n">
        <v>2026.79</v>
      </c>
    </row>
    <row r="13">
      <c r="A13" s="5" t="inlineStr">
        <is>
          <t>2026E revenue ($bn)</t>
        </is>
      </c>
      <c r="C13" s="21" t="n">
        <v>7.551</v>
      </c>
    </row>
    <row r="14">
      <c r="A14" s="17" t="inlineStr">
        <is>
          <t>Discount rate</t>
        </is>
      </c>
      <c r="C14" s="18" t="n"/>
    </row>
    <row r="15">
      <c r="A15" s="5" t="inlineStr">
        <is>
          <t>Risk-free rate</t>
        </is>
      </c>
      <c r="C15" s="14" t="n">
        <v>0.052</v>
      </c>
    </row>
    <row r="16">
      <c r="A16" s="5" t="inlineStr">
        <is>
          <t>Beta</t>
        </is>
      </c>
      <c r="C16" s="23" t="n">
        <v>1.48</v>
      </c>
    </row>
    <row r="17">
      <c r="A17" s="5" t="inlineStr">
        <is>
          <t>Equity risk premium</t>
        </is>
      </c>
      <c r="C17" s="14" t="n">
        <v>0.05</v>
      </c>
    </row>
    <row r="18">
      <c r="A18" s="5" t="inlineStr">
        <is>
          <t>Cost of equity</t>
        </is>
      </c>
      <c r="C18" s="8">
        <f>C15+C16*C17</f>
        <v/>
      </c>
    </row>
    <row r="19">
      <c r="A19" s="5" t="inlineStr">
        <is>
          <t>Pre-tax cost of debt (no tax shield: NOLs)</t>
        </is>
      </c>
      <c r="C19" s="14" t="n">
        <v>0.06</v>
      </c>
    </row>
    <row r="20">
      <c r="A20" s="5" t="inlineStr">
        <is>
          <t>Debt incl. VW-JV loan for weights ($bn)</t>
        </is>
      </c>
      <c r="C20" s="22">
        <f>C7+1</f>
        <v/>
      </c>
    </row>
    <row r="21">
      <c r="A21" s="5" t="inlineStr">
        <is>
          <t>Equity weight</t>
        </is>
      </c>
      <c r="C21" s="8">
        <f>C9/(C9+C20)</f>
        <v/>
      </c>
    </row>
    <row r="22">
      <c r="A22" s="5" t="inlineStr">
        <is>
          <t>WACC (computed)</t>
        </is>
      </c>
      <c r="C22" s="8">
        <f>C21*C18+(1-C21)*C19</f>
        <v/>
      </c>
    </row>
    <row r="23">
      <c r="A23" s="5" t="inlineStr">
        <is>
          <t>Execution-risk premium</t>
        </is>
      </c>
      <c r="C23" s="24" t="n">
        <v>0.004</v>
      </c>
    </row>
    <row r="24">
      <c r="A24" s="5" t="inlineStr">
        <is>
          <t>WACC used</t>
        </is>
      </c>
      <c r="C24" s="25">
        <f>ROUND(C22+C23,3)</f>
        <v/>
      </c>
    </row>
    <row r="25">
      <c r="A25" s="17" t="inlineStr">
        <is>
          <t>Terminal value</t>
        </is>
      </c>
      <c r="C25" s="18" t="n"/>
    </row>
    <row r="26">
      <c r="A26" s="5" t="inlineStr">
        <is>
          <t>Exit multiple, EV/EBITDA (2035)</t>
        </is>
      </c>
      <c r="C26" s="26" t="n">
        <v>10</v>
      </c>
    </row>
    <row r="27">
      <c r="A27" s="5" t="inlineStr">
        <is>
          <t>Perpetual growth (cross-check)</t>
        </is>
      </c>
      <c r="C27" s="14" t="n">
        <v>0.03</v>
      </c>
    </row>
    <row r="28">
      <c r="A28" s="5" t="inlineStr">
        <is>
          <t>Terminal tax rate</t>
        </is>
      </c>
      <c r="C28" s="14" t="n">
        <v>0.21</v>
      </c>
    </row>
    <row r="29">
      <c r="A29" s="5" t="inlineStr">
        <is>
          <t>Terminal capex / D&amp;A</t>
        </is>
      </c>
      <c r="C29" s="27" t="n">
        <v>1.15</v>
      </c>
    </row>
    <row r="30">
      <c r="A30" s="5" t="inlineStr">
        <is>
          <t>Net working capital, % of revenue change</t>
        </is>
      </c>
      <c r="C30" s="14" t="n">
        <v>0.02</v>
      </c>
    </row>
    <row r="31">
      <c r="A31" s="17" t="inlineStr">
        <is>
          <t>Scenario weights</t>
        </is>
      </c>
      <c r="C31" s="18" t="n"/>
    </row>
    <row r="32">
      <c r="A32" s="5" t="inlineStr">
        <is>
          <t>Bear probability</t>
        </is>
      </c>
      <c r="C32" s="24" t="n">
        <v>0.3</v>
      </c>
    </row>
    <row r="33">
      <c r="A33" s="5" t="inlineStr">
        <is>
          <t>Base probability</t>
        </is>
      </c>
      <c r="C33" s="24" t="n">
        <v>0.5</v>
      </c>
    </row>
    <row r="34">
      <c r="A34" s="5" t="inlineStr">
        <is>
          <t>Bull probability</t>
        </is>
      </c>
      <c r="C34" s="24" t="n">
        <v>0.2</v>
      </c>
    </row>
    <row r="35">
      <c r="A35" s="5" t="inlineStr">
        <is>
          <t>Bear floor, EV / 2027E sales</t>
        </is>
      </c>
      <c r="C35" s="15" t="n">
        <v>0.6</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J40"/>
  <sheetViews>
    <sheetView showGridLines="0" workbookViewId="0">
      <selection activeCell="A1" sqref="A1"/>
    </sheetView>
  </sheetViews>
  <sheetFormatPr baseColWidth="8" defaultRowHeight="15"/>
  <cols>
    <col width="4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s>
  <sheetData>
    <row r="1">
      <c r="A1" s="1" t="inlineStr">
        <is>
          <t>Scenario drivers, 2027-2035 (author estimates)</t>
        </is>
      </c>
    </row>
    <row r="2">
      <c r="A2" s="2" t="inlineStr">
        <is>
          <t>Edit the blue cells. Each block feeds the matching block on the Model sheet.</t>
        </is>
      </c>
    </row>
    <row r="4">
      <c r="A4" s="9" t="inlineStr">
        <is>
          <t>Bear case</t>
        </is>
      </c>
    </row>
    <row r="5">
      <c r="A5" s="2" t="inlineStr">
        <is>
          <t>R2 demand fades without the federal tax credit, Georgia is paused and Rivian shrinks to one plant, VW engineering fees roll off after 2027 with little licensing to replace them, and management cuts spending to survive. More equity is still needed, at lower prices.</t>
        </is>
      </c>
    </row>
    <row r="6">
      <c r="A6" s="3" t="inlineStr">
        <is>
          <t>Driver</t>
        </is>
      </c>
      <c r="B6" s="4" t="inlineStr">
        <is>
          <t>2027</t>
        </is>
      </c>
      <c r="C6" s="4" t="inlineStr">
        <is>
          <t>2028</t>
        </is>
      </c>
      <c r="D6" s="4" t="inlineStr">
        <is>
          <t>2029</t>
        </is>
      </c>
      <c r="E6" s="4" t="inlineStr">
        <is>
          <t>2030</t>
        </is>
      </c>
      <c r="F6" s="4" t="inlineStr">
        <is>
          <t>2031</t>
        </is>
      </c>
      <c r="G6" s="4" t="inlineStr">
        <is>
          <t>2032</t>
        </is>
      </c>
      <c r="H6" s="4" t="inlineStr">
        <is>
          <t>2033</t>
        </is>
      </c>
      <c r="I6" s="4" t="inlineStr">
        <is>
          <t>2034</t>
        </is>
      </c>
      <c r="J6" s="4" t="inlineStr">
        <is>
          <t>2035</t>
        </is>
      </c>
    </row>
    <row r="7">
      <c r="A7" s="5" t="inlineStr">
        <is>
          <t>Deliveries (thousands)</t>
        </is>
      </c>
      <c r="B7" s="28" t="n">
        <v>90</v>
      </c>
      <c r="C7" s="28" t="n">
        <v>110</v>
      </c>
      <c r="D7" s="28" t="n">
        <v>130</v>
      </c>
      <c r="E7" s="28" t="n">
        <v>150</v>
      </c>
      <c r="F7" s="28" t="n">
        <v>165</v>
      </c>
      <c r="G7" s="28" t="n">
        <v>180</v>
      </c>
      <c r="H7" s="28" t="n">
        <v>190</v>
      </c>
      <c r="I7" s="28" t="n">
        <v>200</v>
      </c>
      <c r="J7" s="28" t="n">
        <v>205</v>
      </c>
    </row>
    <row r="8">
      <c r="A8" s="5" t="inlineStr">
        <is>
          <t>Automotive ASP ($ thousands)</t>
        </is>
      </c>
      <c r="B8" s="28" t="n">
        <v>62</v>
      </c>
      <c r="C8" s="28" t="n">
        <v>59</v>
      </c>
      <c r="D8" s="28" t="n">
        <v>56</v>
      </c>
      <c r="E8" s="28" t="n">
        <v>54</v>
      </c>
      <c r="F8" s="28" t="n">
        <v>53</v>
      </c>
      <c r="G8" s="28" t="n">
        <v>53</v>
      </c>
      <c r="H8" s="28" t="n">
        <v>53</v>
      </c>
      <c r="I8" s="28" t="n">
        <v>53</v>
      </c>
      <c r="J8" s="28" t="n">
        <v>53</v>
      </c>
    </row>
    <row r="9">
      <c r="A9" s="5" t="inlineStr">
        <is>
          <t>Automotive gross margin</t>
        </is>
      </c>
      <c r="B9" s="14" t="n">
        <v>-0.04</v>
      </c>
      <c r="C9" s="14" t="n">
        <v>0.01</v>
      </c>
      <c r="D9" s="14" t="n">
        <v>0.04</v>
      </c>
      <c r="E9" s="14" t="n">
        <v>0.06</v>
      </c>
      <c r="F9" s="14" t="n">
        <v>0.08</v>
      </c>
      <c r="G9" s="14" t="n">
        <v>0.09</v>
      </c>
      <c r="H9" s="14" t="n">
        <v>0.1</v>
      </c>
      <c r="I9" s="14" t="n">
        <v>0.11</v>
      </c>
      <c r="J9" s="14" t="n">
        <v>0.11</v>
      </c>
    </row>
    <row r="10">
      <c r="A10" s="5" t="inlineStr">
        <is>
          <t>Software &amp; services revenue ($bn)</t>
        </is>
      </c>
      <c r="B10" s="21" t="n">
        <v>2.2</v>
      </c>
      <c r="C10" s="21" t="n">
        <v>2</v>
      </c>
      <c r="D10" s="21" t="n">
        <v>2.2</v>
      </c>
      <c r="E10" s="21" t="n">
        <v>2.5</v>
      </c>
      <c r="F10" s="21" t="n">
        <v>2.8</v>
      </c>
      <c r="G10" s="21" t="n">
        <v>3.1</v>
      </c>
      <c r="H10" s="21" t="n">
        <v>3.4</v>
      </c>
      <c r="I10" s="21" t="n">
        <v>3.7</v>
      </c>
      <c r="J10" s="21" t="n">
        <v>4</v>
      </c>
    </row>
    <row r="11">
      <c r="A11" s="5" t="inlineStr">
        <is>
          <t>Software &amp; services gross margin</t>
        </is>
      </c>
      <c r="B11" s="14" t="n">
        <v>0.32</v>
      </c>
      <c r="C11" s="14" t="n">
        <v>0.32</v>
      </c>
      <c r="D11" s="14" t="n">
        <v>0.32</v>
      </c>
      <c r="E11" s="14" t="n">
        <v>0.32</v>
      </c>
      <c r="F11" s="14" t="n">
        <v>0.32</v>
      </c>
      <c r="G11" s="14" t="n">
        <v>0.32</v>
      </c>
      <c r="H11" s="14" t="n">
        <v>0.32</v>
      </c>
      <c r="I11" s="14" t="n">
        <v>0.32</v>
      </c>
      <c r="J11" s="14" t="n">
        <v>0.32</v>
      </c>
    </row>
    <row r="12">
      <c r="A12" s="5" t="inlineStr">
        <is>
          <t>R&amp;D + SG&amp;A incl. SBC ($bn)</t>
        </is>
      </c>
      <c r="B12" s="21" t="n">
        <v>4.2</v>
      </c>
      <c r="C12" s="21" t="n">
        <v>4</v>
      </c>
      <c r="D12" s="21" t="n">
        <v>3.8</v>
      </c>
      <c r="E12" s="21" t="n">
        <v>3.7</v>
      </c>
      <c r="F12" s="21" t="n">
        <v>3.7</v>
      </c>
      <c r="G12" s="21" t="n">
        <v>3.7</v>
      </c>
      <c r="H12" s="21" t="n">
        <v>3.8</v>
      </c>
      <c r="I12" s="21" t="n">
        <v>3.9</v>
      </c>
      <c r="J12" s="21" t="n">
        <v>4</v>
      </c>
    </row>
    <row r="13">
      <c r="A13" s="5" t="inlineStr">
        <is>
          <t>Depreciation &amp; amortization ($bn)</t>
        </is>
      </c>
      <c r="B13" s="21" t="n">
        <v>0.95</v>
      </c>
      <c r="C13" s="21" t="n">
        <v>1</v>
      </c>
      <c r="D13" s="21" t="n">
        <v>1</v>
      </c>
      <c r="E13" s="21" t="n">
        <v>1</v>
      </c>
      <c r="F13" s="21" t="n">
        <v>1</v>
      </c>
      <c r="G13" s="21" t="n">
        <v>1</v>
      </c>
      <c r="H13" s="21" t="n">
        <v>1.05</v>
      </c>
      <c r="I13" s="21" t="n">
        <v>1.05</v>
      </c>
      <c r="J13" s="21" t="n">
        <v>1.1</v>
      </c>
    </row>
    <row r="14">
      <c r="A14" s="5" t="inlineStr">
        <is>
          <t>Capital expenditures ($bn)</t>
        </is>
      </c>
      <c r="B14" s="21" t="n">
        <v>1.9</v>
      </c>
      <c r="C14" s="21" t="n">
        <v>1.4</v>
      </c>
      <c r="D14" s="21" t="n">
        <v>1.1</v>
      </c>
      <c r="E14" s="21" t="n">
        <v>1</v>
      </c>
      <c r="F14" s="21" t="n">
        <v>1</v>
      </c>
      <c r="G14" s="21" t="n">
        <v>1</v>
      </c>
      <c r="H14" s="21" t="n">
        <v>1.1</v>
      </c>
      <c r="I14" s="21" t="n">
        <v>1.1</v>
      </c>
      <c r="J14" s="21" t="n">
        <v>1.2</v>
      </c>
    </row>
    <row r="17">
      <c r="A17" s="9" t="inlineStr">
        <is>
          <t>Base case</t>
        </is>
      </c>
    </row>
    <row r="18">
      <c r="A18" s="2" t="inlineStr">
        <is>
          <t>R2 ramps through 2027 at Normal, Georgia adds volume from 2029, automotive margins reach Ford-to-Tesla territory by the early 2030s, and software &amp; services keeps compounding as VW engineering fees give way to licensing and paid autonomy.</t>
        </is>
      </c>
    </row>
    <row r="19">
      <c r="A19" s="3" t="inlineStr">
        <is>
          <t>Driver</t>
        </is>
      </c>
      <c r="B19" s="4" t="inlineStr">
        <is>
          <t>2027</t>
        </is>
      </c>
      <c r="C19" s="4" t="inlineStr">
        <is>
          <t>2028</t>
        </is>
      </c>
      <c r="D19" s="4" t="inlineStr">
        <is>
          <t>2029</t>
        </is>
      </c>
      <c r="E19" s="4" t="inlineStr">
        <is>
          <t>2030</t>
        </is>
      </c>
      <c r="F19" s="4" t="inlineStr">
        <is>
          <t>2031</t>
        </is>
      </c>
      <c r="G19" s="4" t="inlineStr">
        <is>
          <t>2032</t>
        </is>
      </c>
      <c r="H19" s="4" t="inlineStr">
        <is>
          <t>2033</t>
        </is>
      </c>
      <c r="I19" s="4" t="inlineStr">
        <is>
          <t>2034</t>
        </is>
      </c>
      <c r="J19" s="4" t="inlineStr">
        <is>
          <t>2035</t>
        </is>
      </c>
    </row>
    <row r="20">
      <c r="A20" s="5" t="inlineStr">
        <is>
          <t>Deliveries (thousands)</t>
        </is>
      </c>
      <c r="B20" s="28" t="n">
        <v>115</v>
      </c>
      <c r="C20" s="28" t="n">
        <v>150</v>
      </c>
      <c r="D20" s="28" t="n">
        <v>210</v>
      </c>
      <c r="E20" s="28" t="n">
        <v>280</v>
      </c>
      <c r="F20" s="28" t="n">
        <v>345</v>
      </c>
      <c r="G20" s="28" t="n">
        <v>400</v>
      </c>
      <c r="H20" s="28" t="n">
        <v>440</v>
      </c>
      <c r="I20" s="28" t="n">
        <v>470</v>
      </c>
      <c r="J20" s="28" t="n">
        <v>490</v>
      </c>
    </row>
    <row r="21">
      <c r="A21" s="5" t="inlineStr">
        <is>
          <t>Automotive ASP ($ thousands)</t>
        </is>
      </c>
      <c r="B21" s="28" t="n">
        <v>63</v>
      </c>
      <c r="C21" s="28" t="n">
        <v>60</v>
      </c>
      <c r="D21" s="28" t="n">
        <v>57</v>
      </c>
      <c r="E21" s="28" t="n">
        <v>55</v>
      </c>
      <c r="F21" s="28" t="n">
        <v>54</v>
      </c>
      <c r="G21" s="28" t="n">
        <v>54</v>
      </c>
      <c r="H21" s="28" t="n">
        <v>54</v>
      </c>
      <c r="I21" s="28" t="n">
        <v>54</v>
      </c>
      <c r="J21" s="28" t="n">
        <v>54</v>
      </c>
    </row>
    <row r="22">
      <c r="A22" s="5" t="inlineStr">
        <is>
          <t>Automotive gross margin</t>
        </is>
      </c>
      <c r="B22" s="14" t="n">
        <v>0.02</v>
      </c>
      <c r="C22" s="14" t="n">
        <v>0.07000000000000001</v>
      </c>
      <c r="D22" s="14" t="n">
        <v>0.1</v>
      </c>
      <c r="E22" s="14" t="n">
        <v>0.13</v>
      </c>
      <c r="F22" s="14" t="n">
        <v>0.15</v>
      </c>
      <c r="G22" s="14" t="n">
        <v>0.17</v>
      </c>
      <c r="H22" s="14" t="n">
        <v>0.18</v>
      </c>
      <c r="I22" s="14" t="n">
        <v>0.19</v>
      </c>
      <c r="J22" s="14" t="n">
        <v>0.19</v>
      </c>
    </row>
    <row r="23">
      <c r="A23" s="5" t="inlineStr">
        <is>
          <t>Software &amp; services revenue ($bn)</t>
        </is>
      </c>
      <c r="B23" s="21" t="n">
        <v>2.7</v>
      </c>
      <c r="C23" s="21" t="n">
        <v>3</v>
      </c>
      <c r="D23" s="21" t="n">
        <v>3.6</v>
      </c>
      <c r="E23" s="21" t="n">
        <v>4.3</v>
      </c>
      <c r="F23" s="21" t="n">
        <v>5.1</v>
      </c>
      <c r="G23" s="21" t="n">
        <v>6</v>
      </c>
      <c r="H23" s="21" t="n">
        <v>7</v>
      </c>
      <c r="I23" s="21" t="n">
        <v>8</v>
      </c>
      <c r="J23" s="21" t="n">
        <v>9</v>
      </c>
    </row>
    <row r="24">
      <c r="A24" s="5" t="inlineStr">
        <is>
          <t>Software &amp; services gross margin</t>
        </is>
      </c>
      <c r="B24" s="14" t="n">
        <v>0.38</v>
      </c>
      <c r="C24" s="14" t="n">
        <v>0.39</v>
      </c>
      <c r="D24" s="14" t="n">
        <v>0.4</v>
      </c>
      <c r="E24" s="14" t="n">
        <v>0.42</v>
      </c>
      <c r="F24" s="14" t="n">
        <v>0.44</v>
      </c>
      <c r="G24" s="14" t="n">
        <v>0.46</v>
      </c>
      <c r="H24" s="14" t="n">
        <v>0.48</v>
      </c>
      <c r="I24" s="14" t="n">
        <v>0.49</v>
      </c>
      <c r="J24" s="14" t="n">
        <v>0.5</v>
      </c>
    </row>
    <row r="25">
      <c r="A25" s="5" t="inlineStr">
        <is>
          <t>R&amp;D + SG&amp;A incl. SBC ($bn)</t>
        </is>
      </c>
      <c r="B25" s="21" t="n">
        <v>4.35</v>
      </c>
      <c r="C25" s="21" t="n">
        <v>4.5</v>
      </c>
      <c r="D25" s="21" t="n">
        <v>4.65</v>
      </c>
      <c r="E25" s="21" t="n">
        <v>4.8</v>
      </c>
      <c r="F25" s="21" t="n">
        <v>4.95</v>
      </c>
      <c r="G25" s="21" t="n">
        <v>5.1</v>
      </c>
      <c r="H25" s="21" t="n">
        <v>5.25</v>
      </c>
      <c r="I25" s="21" t="n">
        <v>5.4</v>
      </c>
      <c r="J25" s="21" t="n">
        <v>5.55</v>
      </c>
    </row>
    <row r="26">
      <c r="A26" s="5" t="inlineStr">
        <is>
          <t>Depreciation &amp; amortization ($bn)</t>
        </is>
      </c>
      <c r="B26" s="21" t="n">
        <v>1</v>
      </c>
      <c r="C26" s="21" t="n">
        <v>1.15</v>
      </c>
      <c r="D26" s="21" t="n">
        <v>1.4</v>
      </c>
      <c r="E26" s="21" t="n">
        <v>1.6</v>
      </c>
      <c r="F26" s="21" t="n">
        <v>1.75</v>
      </c>
      <c r="G26" s="21" t="n">
        <v>1.9</v>
      </c>
      <c r="H26" s="21" t="n">
        <v>2</v>
      </c>
      <c r="I26" s="21" t="n">
        <v>2.1</v>
      </c>
      <c r="J26" s="21" t="n">
        <v>2.2</v>
      </c>
    </row>
    <row r="27">
      <c r="A27" s="5" t="inlineStr">
        <is>
          <t>Capital expenditures ($bn)</t>
        </is>
      </c>
      <c r="B27" s="21" t="n">
        <v>2.4</v>
      </c>
      <c r="C27" s="21" t="n">
        <v>2.6</v>
      </c>
      <c r="D27" s="21" t="n">
        <v>2</v>
      </c>
      <c r="E27" s="21" t="n">
        <v>2</v>
      </c>
      <c r="F27" s="21" t="n">
        <v>2.1</v>
      </c>
      <c r="G27" s="21" t="n">
        <v>2.2</v>
      </c>
      <c r="H27" s="21" t="n">
        <v>2.3</v>
      </c>
      <c r="I27" s="21" t="n">
        <v>2.4</v>
      </c>
      <c r="J27" s="21" t="n">
        <v>2.5</v>
      </c>
    </row>
    <row r="30">
      <c r="A30" s="9" t="inlineStr">
        <is>
          <t>Bull case</t>
        </is>
      </c>
    </row>
    <row r="31">
      <c r="A31" s="2" t="inlineStr">
        <is>
          <t>R2 and R3 sell through both plants plus an expansion, unit costs fall faster than planned, VW and others license the RV Tech stack per vehicle, and paid autonomy and a robotaxi variant make software a large, high-margin business.</t>
        </is>
      </c>
    </row>
    <row r="32">
      <c r="A32" s="3" t="inlineStr">
        <is>
          <t>Driver</t>
        </is>
      </c>
      <c r="B32" s="4" t="inlineStr">
        <is>
          <t>2027</t>
        </is>
      </c>
      <c r="C32" s="4" t="inlineStr">
        <is>
          <t>2028</t>
        </is>
      </c>
      <c r="D32" s="4" t="inlineStr">
        <is>
          <t>2029</t>
        </is>
      </c>
      <c r="E32" s="4" t="inlineStr">
        <is>
          <t>2030</t>
        </is>
      </c>
      <c r="F32" s="4" t="inlineStr">
        <is>
          <t>2031</t>
        </is>
      </c>
      <c r="G32" s="4" t="inlineStr">
        <is>
          <t>2032</t>
        </is>
      </c>
      <c r="H32" s="4" t="inlineStr">
        <is>
          <t>2033</t>
        </is>
      </c>
      <c r="I32" s="4" t="inlineStr">
        <is>
          <t>2034</t>
        </is>
      </c>
      <c r="J32" s="4" t="inlineStr">
        <is>
          <t>2035</t>
        </is>
      </c>
    </row>
    <row r="33">
      <c r="A33" s="5" t="inlineStr">
        <is>
          <t>Deliveries (thousands)</t>
        </is>
      </c>
      <c r="B33" s="28" t="n">
        <v>130</v>
      </c>
      <c r="C33" s="28" t="n">
        <v>185</v>
      </c>
      <c r="D33" s="28" t="n">
        <v>260</v>
      </c>
      <c r="E33" s="28" t="n">
        <v>350</v>
      </c>
      <c r="F33" s="28" t="n">
        <v>440</v>
      </c>
      <c r="G33" s="28" t="n">
        <v>520</v>
      </c>
      <c r="H33" s="28" t="n">
        <v>590</v>
      </c>
      <c r="I33" s="28" t="n">
        <v>640</v>
      </c>
      <c r="J33" s="28" t="n">
        <v>680</v>
      </c>
    </row>
    <row r="34">
      <c r="A34" s="5" t="inlineStr">
        <is>
          <t>Automotive ASP ($ thousands)</t>
        </is>
      </c>
      <c r="B34" s="28" t="n">
        <v>64</v>
      </c>
      <c r="C34" s="28" t="n">
        <v>61</v>
      </c>
      <c r="D34" s="28" t="n">
        <v>58</v>
      </c>
      <c r="E34" s="28" t="n">
        <v>56</v>
      </c>
      <c r="F34" s="28" t="n">
        <v>55</v>
      </c>
      <c r="G34" s="28" t="n">
        <v>55</v>
      </c>
      <c r="H34" s="28" t="n">
        <v>55</v>
      </c>
      <c r="I34" s="28" t="n">
        <v>55</v>
      </c>
      <c r="J34" s="28" t="n">
        <v>55</v>
      </c>
    </row>
    <row r="35">
      <c r="A35" s="5" t="inlineStr">
        <is>
          <t>Automotive gross margin</t>
        </is>
      </c>
      <c r="B35" s="14" t="n">
        <v>0.05</v>
      </c>
      <c r="C35" s="14" t="n">
        <v>0.11</v>
      </c>
      <c r="D35" s="14" t="n">
        <v>0.15</v>
      </c>
      <c r="E35" s="14" t="n">
        <v>0.18</v>
      </c>
      <c r="F35" s="14" t="n">
        <v>0.2</v>
      </c>
      <c r="G35" s="14" t="n">
        <v>0.21</v>
      </c>
      <c r="H35" s="14" t="n">
        <v>0.22</v>
      </c>
      <c r="I35" s="14" t="n">
        <v>0.23</v>
      </c>
      <c r="J35" s="14" t="n">
        <v>0.23</v>
      </c>
    </row>
    <row r="36">
      <c r="A36" s="5" t="inlineStr">
        <is>
          <t>Software &amp; services revenue ($bn)</t>
        </is>
      </c>
      <c r="B36" s="21" t="n">
        <v>3</v>
      </c>
      <c r="C36" s="21" t="n">
        <v>3.8</v>
      </c>
      <c r="D36" s="21" t="n">
        <v>5</v>
      </c>
      <c r="E36" s="21" t="n">
        <v>6.5</v>
      </c>
      <c r="F36" s="21" t="n">
        <v>8.199999999999999</v>
      </c>
      <c r="G36" s="21" t="n">
        <v>10</v>
      </c>
      <c r="H36" s="21" t="n">
        <v>11.8</v>
      </c>
      <c r="I36" s="21" t="n">
        <v>13.5</v>
      </c>
      <c r="J36" s="21" t="n">
        <v>15</v>
      </c>
    </row>
    <row r="37">
      <c r="A37" s="5" t="inlineStr">
        <is>
          <t>Software &amp; services gross margin</t>
        </is>
      </c>
      <c r="B37" s="14" t="n">
        <v>0.42</v>
      </c>
      <c r="C37" s="14" t="n">
        <v>0.44</v>
      </c>
      <c r="D37" s="14" t="n">
        <v>0.47</v>
      </c>
      <c r="E37" s="14" t="n">
        <v>0.5</v>
      </c>
      <c r="F37" s="14" t="n">
        <v>0.52</v>
      </c>
      <c r="G37" s="14" t="n">
        <v>0.54</v>
      </c>
      <c r="H37" s="14" t="n">
        <v>0.55</v>
      </c>
      <c r="I37" s="14" t="n">
        <v>0.5600000000000001</v>
      </c>
      <c r="J37" s="14" t="n">
        <v>0.57</v>
      </c>
    </row>
    <row r="38">
      <c r="A38" s="5" t="inlineStr">
        <is>
          <t>R&amp;D + SG&amp;A incl. SBC ($bn)</t>
        </is>
      </c>
      <c r="B38" s="21" t="n">
        <v>4.4</v>
      </c>
      <c r="C38" s="21" t="n">
        <v>4.7</v>
      </c>
      <c r="D38" s="21" t="n">
        <v>5</v>
      </c>
      <c r="E38" s="21" t="n">
        <v>5.4</v>
      </c>
      <c r="F38" s="21" t="n">
        <v>5.8</v>
      </c>
      <c r="G38" s="21" t="n">
        <v>6.2</v>
      </c>
      <c r="H38" s="21" t="n">
        <v>6.6</v>
      </c>
      <c r="I38" s="21" t="n">
        <v>7</v>
      </c>
      <c r="J38" s="21" t="n">
        <v>7.4</v>
      </c>
    </row>
    <row r="39">
      <c r="A39" s="5" t="inlineStr">
        <is>
          <t>Depreciation &amp; amortization ($bn)</t>
        </is>
      </c>
      <c r="B39" s="21" t="n">
        <v>1.05</v>
      </c>
      <c r="C39" s="21" t="n">
        <v>1.25</v>
      </c>
      <c r="D39" s="21" t="n">
        <v>1.55</v>
      </c>
      <c r="E39" s="21" t="n">
        <v>1.85</v>
      </c>
      <c r="F39" s="21" t="n">
        <v>2.1</v>
      </c>
      <c r="G39" s="21" t="n">
        <v>2.35</v>
      </c>
      <c r="H39" s="21" t="n">
        <v>2.55</v>
      </c>
      <c r="I39" s="21" t="n">
        <v>2.75</v>
      </c>
      <c r="J39" s="21" t="n">
        <v>2.9</v>
      </c>
    </row>
    <row r="40">
      <c r="A40" s="5" t="inlineStr">
        <is>
          <t>Capital expenditures ($bn)</t>
        </is>
      </c>
      <c r="B40" s="21" t="n">
        <v>2.6</v>
      </c>
      <c r="C40" s="21" t="n">
        <v>3</v>
      </c>
      <c r="D40" s="21" t="n">
        <v>2.6</v>
      </c>
      <c r="E40" s="21" t="n">
        <v>2.8</v>
      </c>
      <c r="F40" s="21" t="n">
        <v>3</v>
      </c>
      <c r="G40" s="21" t="n">
        <v>3.1</v>
      </c>
      <c r="H40" s="21" t="n">
        <v>3.2</v>
      </c>
      <c r="I40" s="21" t="n">
        <v>3.3</v>
      </c>
      <c r="J40" s="21" t="n">
        <v>3.4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18"/>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46" customWidth="1" min="1" max="1"/>
    <col width="2"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Model: revenue build to unlevered free cash flow and DCF ($bn unless noted)</t>
        </is>
      </c>
    </row>
    <row r="2">
      <c r="A2" s="2" t="inlineStr">
        <is>
          <t>Stock-based compensation is treated as a real cost (no add-back). Cash taxes are zero through 2035 because of accumulated net operating losses.</t>
        </is>
      </c>
    </row>
    <row r="4">
      <c r="A4" s="9" t="inlineStr">
        <is>
          <t>Bear case</t>
        </is>
      </c>
    </row>
    <row r="5">
      <c r="A5" s="3" t="inlineStr">
        <is>
          <t>Line item</t>
        </is>
      </c>
      <c r="B5" s="4" t="inlineStr"/>
      <c r="C5" s="4" t="inlineStr">
        <is>
          <t>2027</t>
        </is>
      </c>
      <c r="D5" s="4" t="inlineStr">
        <is>
          <t>2028</t>
        </is>
      </c>
      <c r="E5" s="4" t="inlineStr">
        <is>
          <t>2029</t>
        </is>
      </c>
      <c r="F5" s="4" t="inlineStr">
        <is>
          <t>2030</t>
        </is>
      </c>
      <c r="G5" s="4" t="inlineStr">
        <is>
          <t>2031</t>
        </is>
      </c>
      <c r="H5" s="4" t="inlineStr">
        <is>
          <t>2032</t>
        </is>
      </c>
      <c r="I5" s="4" t="inlineStr">
        <is>
          <t>2033</t>
        </is>
      </c>
      <c r="J5" s="4" t="inlineStr">
        <is>
          <t>2034</t>
        </is>
      </c>
      <c r="K5" s="4" t="inlineStr">
        <is>
          <t>2035</t>
        </is>
      </c>
    </row>
    <row r="6">
      <c r="A6" s="5" t="inlineStr">
        <is>
          <t>Deliveries (thousands)</t>
        </is>
      </c>
      <c r="C6" s="29">
        <f>Scenarios!B7</f>
        <v/>
      </c>
      <c r="D6" s="29">
        <f>Scenarios!C7</f>
        <v/>
      </c>
      <c r="E6" s="29">
        <f>Scenarios!D7</f>
        <v/>
      </c>
      <c r="F6" s="29">
        <f>Scenarios!E7</f>
        <v/>
      </c>
      <c r="G6" s="29">
        <f>Scenarios!F7</f>
        <v/>
      </c>
      <c r="H6" s="29">
        <f>Scenarios!G7</f>
        <v/>
      </c>
      <c r="I6" s="29">
        <f>Scenarios!H7</f>
        <v/>
      </c>
      <c r="J6" s="29">
        <f>Scenarios!I7</f>
        <v/>
      </c>
      <c r="K6" s="29">
        <f>Scenarios!J7</f>
        <v/>
      </c>
    </row>
    <row r="7">
      <c r="A7" s="5" t="inlineStr">
        <is>
          <t>Automotive ASP ($ thousands)</t>
        </is>
      </c>
      <c r="C7" s="29">
        <f>Scenarios!B8</f>
        <v/>
      </c>
      <c r="D7" s="29">
        <f>Scenarios!C8</f>
        <v/>
      </c>
      <c r="E7" s="29">
        <f>Scenarios!D8</f>
        <v/>
      </c>
      <c r="F7" s="29">
        <f>Scenarios!E8</f>
        <v/>
      </c>
      <c r="G7" s="29">
        <f>Scenarios!F8</f>
        <v/>
      </c>
      <c r="H7" s="29">
        <f>Scenarios!G8</f>
        <v/>
      </c>
      <c r="I7" s="29">
        <f>Scenarios!H8</f>
        <v/>
      </c>
      <c r="J7" s="29">
        <f>Scenarios!I8</f>
        <v/>
      </c>
      <c r="K7" s="29">
        <f>Scenarios!J8</f>
        <v/>
      </c>
    </row>
    <row r="8">
      <c r="A8" s="5" t="inlineStr">
        <is>
          <t>Automotive revenue</t>
        </is>
      </c>
      <c r="C8" s="22">
        <f>C6*C7/1000</f>
        <v/>
      </c>
      <c r="D8" s="22">
        <f>D6*D7/1000</f>
        <v/>
      </c>
      <c r="E8" s="22">
        <f>E6*E7/1000</f>
        <v/>
      </c>
      <c r="F8" s="22">
        <f>F6*F7/1000</f>
        <v/>
      </c>
      <c r="G8" s="22">
        <f>G6*G7/1000</f>
        <v/>
      </c>
      <c r="H8" s="22">
        <f>H6*H7/1000</f>
        <v/>
      </c>
      <c r="I8" s="22">
        <f>I6*I7/1000</f>
        <v/>
      </c>
      <c r="J8" s="22">
        <f>J6*J7/1000</f>
        <v/>
      </c>
      <c r="K8" s="22">
        <f>K6*K7/1000</f>
        <v/>
      </c>
    </row>
    <row r="9">
      <c r="A9" s="5" t="inlineStr">
        <is>
          <t>Software &amp; services revenue</t>
        </is>
      </c>
      <c r="C9" s="30">
        <f>Scenarios!B10</f>
        <v/>
      </c>
      <c r="D9" s="30">
        <f>Scenarios!C10</f>
        <v/>
      </c>
      <c r="E9" s="30">
        <f>Scenarios!D10</f>
        <v/>
      </c>
      <c r="F9" s="30">
        <f>Scenarios!E10</f>
        <v/>
      </c>
      <c r="G9" s="30">
        <f>Scenarios!F10</f>
        <v/>
      </c>
      <c r="H9" s="30">
        <f>Scenarios!G10</f>
        <v/>
      </c>
      <c r="I9" s="30">
        <f>Scenarios!H10</f>
        <v/>
      </c>
      <c r="J9" s="30">
        <f>Scenarios!I10</f>
        <v/>
      </c>
      <c r="K9" s="30">
        <f>Scenarios!J10</f>
        <v/>
      </c>
    </row>
    <row r="10">
      <c r="A10" s="9" t="inlineStr">
        <is>
          <t>Total revenue</t>
        </is>
      </c>
      <c r="C10" s="22">
        <f>C8+C9</f>
        <v/>
      </c>
      <c r="D10" s="22">
        <f>D8+D9</f>
        <v/>
      </c>
      <c r="E10" s="22">
        <f>E8+E9</f>
        <v/>
      </c>
      <c r="F10" s="22">
        <f>F8+F9</f>
        <v/>
      </c>
      <c r="G10" s="22">
        <f>G8+G9</f>
        <v/>
      </c>
      <c r="H10" s="22">
        <f>H8+H9</f>
        <v/>
      </c>
      <c r="I10" s="22">
        <f>I8+I9</f>
        <v/>
      </c>
      <c r="J10" s="22">
        <f>J8+J9</f>
        <v/>
      </c>
      <c r="K10" s="22">
        <f>K8+K9</f>
        <v/>
      </c>
    </row>
    <row r="11">
      <c r="A11" s="5" t="inlineStr">
        <is>
          <t>Automotive gross margin</t>
        </is>
      </c>
      <c r="C11" s="6">
        <f>Scenarios!B9</f>
        <v/>
      </c>
      <c r="D11" s="6">
        <f>Scenarios!C9</f>
        <v/>
      </c>
      <c r="E11" s="6">
        <f>Scenarios!D9</f>
        <v/>
      </c>
      <c r="F11" s="6">
        <f>Scenarios!E9</f>
        <v/>
      </c>
      <c r="G11" s="6">
        <f>Scenarios!F9</f>
        <v/>
      </c>
      <c r="H11" s="6">
        <f>Scenarios!G9</f>
        <v/>
      </c>
      <c r="I11" s="6">
        <f>Scenarios!H9</f>
        <v/>
      </c>
      <c r="J11" s="6">
        <f>Scenarios!I9</f>
        <v/>
      </c>
      <c r="K11" s="6">
        <f>Scenarios!J9</f>
        <v/>
      </c>
    </row>
    <row r="12">
      <c r="A12" s="5" t="inlineStr">
        <is>
          <t>Automotive gross profit</t>
        </is>
      </c>
      <c r="C12" s="22">
        <f>C8*C11</f>
        <v/>
      </c>
      <c r="D12" s="22">
        <f>D8*D11</f>
        <v/>
      </c>
      <c r="E12" s="22">
        <f>E8*E11</f>
        <v/>
      </c>
      <c r="F12" s="22">
        <f>F8*F11</f>
        <v/>
      </c>
      <c r="G12" s="22">
        <f>G8*G11</f>
        <v/>
      </c>
      <c r="H12" s="22">
        <f>H8*H11</f>
        <v/>
      </c>
      <c r="I12" s="22">
        <f>I8*I11</f>
        <v/>
      </c>
      <c r="J12" s="22">
        <f>J8*J11</f>
        <v/>
      </c>
      <c r="K12" s="22">
        <f>K8*K11</f>
        <v/>
      </c>
    </row>
    <row r="13">
      <c r="A13" s="5" t="inlineStr">
        <is>
          <t>Software &amp; services gross margin</t>
        </is>
      </c>
      <c r="C13" s="6">
        <f>Scenarios!B11</f>
        <v/>
      </c>
      <c r="D13" s="6">
        <f>Scenarios!C11</f>
        <v/>
      </c>
      <c r="E13" s="6">
        <f>Scenarios!D11</f>
        <v/>
      </c>
      <c r="F13" s="6">
        <f>Scenarios!E11</f>
        <v/>
      </c>
      <c r="G13" s="6">
        <f>Scenarios!F11</f>
        <v/>
      </c>
      <c r="H13" s="6">
        <f>Scenarios!G11</f>
        <v/>
      </c>
      <c r="I13" s="6">
        <f>Scenarios!H11</f>
        <v/>
      </c>
      <c r="J13" s="6">
        <f>Scenarios!I11</f>
        <v/>
      </c>
      <c r="K13" s="6">
        <f>Scenarios!J11</f>
        <v/>
      </c>
    </row>
    <row r="14">
      <c r="A14" s="5" t="inlineStr">
        <is>
          <t>Software &amp; services gross profit</t>
        </is>
      </c>
      <c r="C14" s="22">
        <f>C9*C13</f>
        <v/>
      </c>
      <c r="D14" s="22">
        <f>D9*D13</f>
        <v/>
      </c>
      <c r="E14" s="22">
        <f>E9*E13</f>
        <v/>
      </c>
      <c r="F14" s="22">
        <f>F9*F13</f>
        <v/>
      </c>
      <c r="G14" s="22">
        <f>G9*G13</f>
        <v/>
      </c>
      <c r="H14" s="22">
        <f>H9*H13</f>
        <v/>
      </c>
      <c r="I14" s="22">
        <f>I9*I13</f>
        <v/>
      </c>
      <c r="J14" s="22">
        <f>J9*J13</f>
        <v/>
      </c>
      <c r="K14" s="22">
        <f>K9*K13</f>
        <v/>
      </c>
    </row>
    <row r="15">
      <c r="A15" s="9" t="inlineStr">
        <is>
          <t>Gross profit</t>
        </is>
      </c>
      <c r="C15" s="22">
        <f>C12+C14</f>
        <v/>
      </c>
      <c r="D15" s="22">
        <f>D12+D14</f>
        <v/>
      </c>
      <c r="E15" s="22">
        <f>E12+E14</f>
        <v/>
      </c>
      <c r="F15" s="22">
        <f>F12+F14</f>
        <v/>
      </c>
      <c r="G15" s="22">
        <f>G12+G14</f>
        <v/>
      </c>
      <c r="H15" s="22">
        <f>H12+H14</f>
        <v/>
      </c>
      <c r="I15" s="22">
        <f>I12+I14</f>
        <v/>
      </c>
      <c r="J15" s="22">
        <f>J12+J14</f>
        <v/>
      </c>
      <c r="K15" s="22">
        <f>K12+K14</f>
        <v/>
      </c>
    </row>
    <row r="16">
      <c r="A16" s="5" t="inlineStr">
        <is>
          <t>Gross margin</t>
        </is>
      </c>
      <c r="C16" s="8">
        <f>IF(C10=0,0,C15/C10)</f>
        <v/>
      </c>
      <c r="D16" s="8">
        <f>IF(D10=0,0,D15/D10)</f>
        <v/>
      </c>
      <c r="E16" s="8">
        <f>IF(E10=0,0,E15/E10)</f>
        <v/>
      </c>
      <c r="F16" s="8">
        <f>IF(F10=0,0,F15/F10)</f>
        <v/>
      </c>
      <c r="G16" s="8">
        <f>IF(G10=0,0,G15/G10)</f>
        <v/>
      </c>
      <c r="H16" s="8">
        <f>IF(H10=0,0,H15/H10)</f>
        <v/>
      </c>
      <c r="I16" s="8">
        <f>IF(I10=0,0,I15/I10)</f>
        <v/>
      </c>
      <c r="J16" s="8">
        <f>IF(J10=0,0,J15/J10)</f>
        <v/>
      </c>
      <c r="K16" s="8">
        <f>IF(K10=0,0,K15/K10)</f>
        <v/>
      </c>
    </row>
    <row r="17">
      <c r="A17" s="5" t="inlineStr">
        <is>
          <t>R&amp;D + SG&amp;A incl. SBC</t>
        </is>
      </c>
      <c r="C17" s="30">
        <f>Scenarios!B12</f>
        <v/>
      </c>
      <c r="D17" s="30">
        <f>Scenarios!C12</f>
        <v/>
      </c>
      <c r="E17" s="30">
        <f>Scenarios!D12</f>
        <v/>
      </c>
      <c r="F17" s="30">
        <f>Scenarios!E12</f>
        <v/>
      </c>
      <c r="G17" s="30">
        <f>Scenarios!F12</f>
        <v/>
      </c>
      <c r="H17" s="30">
        <f>Scenarios!G12</f>
        <v/>
      </c>
      <c r="I17" s="30">
        <f>Scenarios!H12</f>
        <v/>
      </c>
      <c r="J17" s="30">
        <f>Scenarios!I12</f>
        <v/>
      </c>
      <c r="K17" s="30">
        <f>Scenarios!J12</f>
        <v/>
      </c>
    </row>
    <row r="18">
      <c r="A18" s="9" t="inlineStr">
        <is>
          <t>EBIT</t>
        </is>
      </c>
      <c r="C18" s="22">
        <f>C15-C17</f>
        <v/>
      </c>
      <c r="D18" s="22">
        <f>D15-D17</f>
        <v/>
      </c>
      <c r="E18" s="22">
        <f>E15-E17</f>
        <v/>
      </c>
      <c r="F18" s="22">
        <f>F15-F17</f>
        <v/>
      </c>
      <c r="G18" s="22">
        <f>G15-G17</f>
        <v/>
      </c>
      <c r="H18" s="22">
        <f>H15-H17</f>
        <v/>
      </c>
      <c r="I18" s="22">
        <f>I15-I17</f>
        <v/>
      </c>
      <c r="J18" s="22">
        <f>J15-J17</f>
        <v/>
      </c>
      <c r="K18" s="22">
        <f>K15-K17</f>
        <v/>
      </c>
    </row>
    <row r="19">
      <c r="A19" s="5" t="inlineStr">
        <is>
          <t>EBIT margin</t>
        </is>
      </c>
      <c r="C19" s="8">
        <f>IF(C10=0,0,C18/C10)</f>
        <v/>
      </c>
      <c r="D19" s="8">
        <f>IF(D10=0,0,D18/D10)</f>
        <v/>
      </c>
      <c r="E19" s="8">
        <f>IF(E10=0,0,E18/E10)</f>
        <v/>
      </c>
      <c r="F19" s="8">
        <f>IF(F10=0,0,F18/F10)</f>
        <v/>
      </c>
      <c r="G19" s="8">
        <f>IF(G10=0,0,G18/G10)</f>
        <v/>
      </c>
      <c r="H19" s="8">
        <f>IF(H10=0,0,H18/H10)</f>
        <v/>
      </c>
      <c r="I19" s="8">
        <f>IF(I10=0,0,I18/I10)</f>
        <v/>
      </c>
      <c r="J19" s="8">
        <f>IF(J10=0,0,J18/J10)</f>
        <v/>
      </c>
      <c r="K19" s="8">
        <f>IF(K10=0,0,K18/K10)</f>
        <v/>
      </c>
    </row>
    <row r="20">
      <c r="A20" s="5" t="inlineStr">
        <is>
          <t>Depreciation &amp; amortization</t>
        </is>
      </c>
      <c r="C20" s="30">
        <f>Scenarios!B13</f>
        <v/>
      </c>
      <c r="D20" s="30">
        <f>Scenarios!C13</f>
        <v/>
      </c>
      <c r="E20" s="30">
        <f>Scenarios!D13</f>
        <v/>
      </c>
      <c r="F20" s="30">
        <f>Scenarios!E13</f>
        <v/>
      </c>
      <c r="G20" s="30">
        <f>Scenarios!F13</f>
        <v/>
      </c>
      <c r="H20" s="30">
        <f>Scenarios!G13</f>
        <v/>
      </c>
      <c r="I20" s="30">
        <f>Scenarios!H13</f>
        <v/>
      </c>
      <c r="J20" s="30">
        <f>Scenarios!I13</f>
        <v/>
      </c>
      <c r="K20" s="30">
        <f>Scenarios!J13</f>
        <v/>
      </c>
    </row>
    <row r="21">
      <c r="A21" s="9" t="inlineStr">
        <is>
          <t>EBITDA</t>
        </is>
      </c>
      <c r="C21" s="22">
        <f>C18+C20</f>
        <v/>
      </c>
      <c r="D21" s="22">
        <f>D18+D20</f>
        <v/>
      </c>
      <c r="E21" s="22">
        <f>E18+E20</f>
        <v/>
      </c>
      <c r="F21" s="22">
        <f>F18+F20</f>
        <v/>
      </c>
      <c r="G21" s="22">
        <f>G18+G20</f>
        <v/>
      </c>
      <c r="H21" s="22">
        <f>H18+H20</f>
        <v/>
      </c>
      <c r="I21" s="22">
        <f>I18+I20</f>
        <v/>
      </c>
      <c r="J21" s="22">
        <f>J18+J20</f>
        <v/>
      </c>
      <c r="K21" s="22">
        <f>K18+K20</f>
        <v/>
      </c>
    </row>
    <row r="22">
      <c r="A22" s="5" t="inlineStr">
        <is>
          <t>Capital expenditures</t>
        </is>
      </c>
      <c r="C22" s="30">
        <f>Scenarios!B14</f>
        <v/>
      </c>
      <c r="D22" s="30">
        <f>Scenarios!C14</f>
        <v/>
      </c>
      <c r="E22" s="30">
        <f>Scenarios!D14</f>
        <v/>
      </c>
      <c r="F22" s="30">
        <f>Scenarios!E14</f>
        <v/>
      </c>
      <c r="G22" s="30">
        <f>Scenarios!F14</f>
        <v/>
      </c>
      <c r="H22" s="30">
        <f>Scenarios!G14</f>
        <v/>
      </c>
      <c r="I22" s="30">
        <f>Scenarios!H14</f>
        <v/>
      </c>
      <c r="J22" s="30">
        <f>Scenarios!I14</f>
        <v/>
      </c>
      <c r="K22" s="30">
        <f>Scenarios!J14</f>
        <v/>
      </c>
    </row>
    <row r="23">
      <c r="A23" s="5" t="inlineStr">
        <is>
          <t>Change in net working capital</t>
        </is>
      </c>
      <c r="C23" s="22">
        <f>Inputs!$C$30*(C10-Inputs!$C$13)</f>
        <v/>
      </c>
      <c r="D23" s="22">
        <f>Inputs!$C$30*(D10-C10)</f>
        <v/>
      </c>
      <c r="E23" s="22">
        <f>Inputs!$C$30*(E10-D10)</f>
        <v/>
      </c>
      <c r="F23" s="22">
        <f>Inputs!$C$30*(F10-E10)</f>
        <v/>
      </c>
      <c r="G23" s="22">
        <f>Inputs!$C$30*(G10-F10)</f>
        <v/>
      </c>
      <c r="H23" s="22">
        <f>Inputs!$C$30*(H10-G10)</f>
        <v/>
      </c>
      <c r="I23" s="22">
        <f>Inputs!$C$30*(I10-H10)</f>
        <v/>
      </c>
      <c r="J23" s="22">
        <f>Inputs!$C$30*(J10-I10)</f>
        <v/>
      </c>
      <c r="K23" s="22">
        <f>Inputs!$C$30*(K10-J10)</f>
        <v/>
      </c>
    </row>
    <row r="24">
      <c r="A24" s="9" t="inlineStr">
        <is>
          <t>Unlevered free cash flow</t>
        </is>
      </c>
      <c r="C24" s="22">
        <f>C18+C20-C22-C23</f>
        <v/>
      </c>
      <c r="D24" s="22">
        <f>D18+D20-D22-D23</f>
        <v/>
      </c>
      <c r="E24" s="22">
        <f>E18+E20-E22-E23</f>
        <v/>
      </c>
      <c r="F24" s="22">
        <f>F18+F20-F22-F23</f>
        <v/>
      </c>
      <c r="G24" s="22">
        <f>G18+G20-G22-G23</f>
        <v/>
      </c>
      <c r="H24" s="22">
        <f>H18+H20-H22-H23</f>
        <v/>
      </c>
      <c r="I24" s="22">
        <f>I18+I20-I22-I23</f>
        <v/>
      </c>
      <c r="J24" s="22">
        <f>J18+J20-J22-J23</f>
        <v/>
      </c>
      <c r="K24" s="22">
        <f>K18+K20-K22-K23</f>
        <v/>
      </c>
    </row>
    <row r="25">
      <c r="A25" s="5" t="inlineStr">
        <is>
          <t>Discount period (years)</t>
        </is>
      </c>
      <c r="C25" s="31">
        <f>2027+0.5-Inputs!$C$12</f>
        <v/>
      </c>
      <c r="D25" s="31">
        <f>2028+0.5-Inputs!$C$12</f>
        <v/>
      </c>
      <c r="E25" s="31">
        <f>2029+0.5-Inputs!$C$12</f>
        <v/>
      </c>
      <c r="F25" s="31">
        <f>2030+0.5-Inputs!$C$12</f>
        <v/>
      </c>
      <c r="G25" s="31">
        <f>2031+0.5-Inputs!$C$12</f>
        <v/>
      </c>
      <c r="H25" s="31">
        <f>2032+0.5-Inputs!$C$12</f>
        <v/>
      </c>
      <c r="I25" s="31">
        <f>2033+0.5-Inputs!$C$12</f>
        <v/>
      </c>
      <c r="J25" s="31">
        <f>2034+0.5-Inputs!$C$12</f>
        <v/>
      </c>
      <c r="K25" s="31">
        <f>2035+0.5-Inputs!$C$12</f>
        <v/>
      </c>
    </row>
    <row r="26">
      <c r="A26" s="5" t="inlineStr">
        <is>
          <t>Discount factor</t>
        </is>
      </c>
      <c r="C26" s="32">
        <f>1/(1+Inputs!$C$24)^C25</f>
        <v/>
      </c>
      <c r="D26" s="32">
        <f>1/(1+Inputs!$C$24)^D25</f>
        <v/>
      </c>
      <c r="E26" s="32">
        <f>1/(1+Inputs!$C$24)^E25</f>
        <v/>
      </c>
      <c r="F26" s="32">
        <f>1/(1+Inputs!$C$24)^F25</f>
        <v/>
      </c>
      <c r="G26" s="32">
        <f>1/(1+Inputs!$C$24)^G25</f>
        <v/>
      </c>
      <c r="H26" s="32">
        <f>1/(1+Inputs!$C$24)^H25</f>
        <v/>
      </c>
      <c r="I26" s="32">
        <f>1/(1+Inputs!$C$24)^I25</f>
        <v/>
      </c>
      <c r="J26" s="32">
        <f>1/(1+Inputs!$C$24)^J25</f>
        <v/>
      </c>
      <c r="K26" s="32">
        <f>1/(1+Inputs!$C$24)^K25</f>
        <v/>
      </c>
    </row>
    <row r="27">
      <c r="A27" s="9" t="inlineStr">
        <is>
          <t>PV of unlevered FCF</t>
        </is>
      </c>
      <c r="C27" s="22">
        <f>C24*C26</f>
        <v/>
      </c>
      <c r="D27" s="22">
        <f>D24*D26</f>
        <v/>
      </c>
      <c r="E27" s="22">
        <f>E24*E26</f>
        <v/>
      </c>
      <c r="F27" s="22">
        <f>F24*F26</f>
        <v/>
      </c>
      <c r="G27" s="22">
        <f>G24*G26</f>
        <v/>
      </c>
      <c r="H27" s="22">
        <f>H24*H26</f>
        <v/>
      </c>
      <c r="I27" s="22">
        <f>I24*I26</f>
        <v/>
      </c>
      <c r="J27" s="22">
        <f>J24*J26</f>
        <v/>
      </c>
      <c r="K27" s="22">
        <f>K24*K26</f>
        <v/>
      </c>
    </row>
    <row r="29">
      <c r="A29" s="5" t="inlineStr">
        <is>
          <t>Normalized terminal FCF (2035)</t>
        </is>
      </c>
      <c r="C29" s="22">
        <f>K18*(1-Inputs!$C$28)+K20*(1-Inputs!$C$29)-Inputs!$C$30*K10*Inputs!$C$27</f>
        <v/>
      </c>
    </row>
    <row r="30">
      <c r="A30" s="5" t="inlineStr">
        <is>
          <t>Terminal value, exit multiple</t>
        </is>
      </c>
      <c r="C30" s="22">
        <f>K21*Inputs!$C$26</f>
        <v/>
      </c>
    </row>
    <row r="31">
      <c r="A31" s="5" t="inlineStr">
        <is>
          <t>Terminal value, perpetual growth (cross-check)</t>
        </is>
      </c>
      <c r="C31" s="22">
        <f>$C$29*(1+Inputs!$C$27)/(Inputs!$C$24-Inputs!$C$27)</f>
        <v/>
      </c>
    </row>
    <row r="32">
      <c r="A32" s="5" t="inlineStr">
        <is>
          <t>PV of 2027-2035 FCF + H2 2026 stub</t>
        </is>
      </c>
      <c r="C32" s="22">
        <f>SUM(C27:K27)+Inputs!$C$11</f>
        <v/>
      </c>
    </row>
    <row r="33">
      <c r="A33" s="5" t="inlineStr">
        <is>
          <t>PV of terminal value (exit multiple, end-2035 value)</t>
        </is>
      </c>
      <c r="C33" s="22">
        <f>$C$30/(1+Inputs!$C$24)^(K25+0.5)</f>
        <v/>
      </c>
    </row>
    <row r="34">
      <c r="A34" s="33" t="inlineStr">
        <is>
          <t>Enterprise value</t>
        </is>
      </c>
      <c r="C34" s="34">
        <f>$C$32+$C$33</f>
        <v/>
      </c>
    </row>
    <row r="35">
      <c r="A35" s="5" t="inlineStr">
        <is>
          <t>Equity value</t>
        </is>
      </c>
      <c r="C35" s="22">
        <f>$C$34+Inputs!$C$8</f>
        <v/>
      </c>
    </row>
    <row r="36">
      <c r="A36" s="5" t="inlineStr">
        <is>
          <t>DCF value per share ($)</t>
        </is>
      </c>
      <c r="C36" s="12">
        <f>MAX(0,$C$35*1000/Inputs!$C$5)</f>
        <v/>
      </c>
    </row>
    <row r="37">
      <c r="A37" s="5" t="inlineStr">
        <is>
          <t>Strategic floor per share ($)</t>
        </is>
      </c>
      <c r="C37" s="12">
        <f>(Inputs!$C$35*C10+Inputs!$C$8)*1000/Inputs!$C$5</f>
        <v/>
      </c>
    </row>
    <row r="38">
      <c r="A38" s="33" t="inlineStr">
        <is>
          <t>Value per share ($)</t>
        </is>
      </c>
      <c r="C38" s="35">
        <f>MAX($C$36,$C$37)</f>
        <v/>
      </c>
    </row>
    <row r="39">
      <c r="A39" s="5" t="inlineStr">
        <is>
          <t>Cross-check: value per share at perpetual growth ($)</t>
        </is>
      </c>
      <c r="C39" s="12">
        <f>MAX(0,($C$32+$C$31*K26+Inputs!$C$8)*1000/Inputs!$C$5)</f>
        <v/>
      </c>
    </row>
    <row r="40">
      <c r="A40" s="5" t="inlineStr">
        <is>
          <t>Perpetual growth implied by the exit multiple</t>
        </is>
      </c>
      <c r="C40" s="8">
        <f>($C$30*Inputs!$C$24-$C$29)/($C$30+$C$29)</f>
        <v/>
      </c>
    </row>
    <row r="43">
      <c r="A43" s="9" t="inlineStr">
        <is>
          <t>Base case</t>
        </is>
      </c>
    </row>
    <row r="44">
      <c r="A44" s="3" t="inlineStr">
        <is>
          <t>Line item</t>
        </is>
      </c>
      <c r="B44" s="4" t="inlineStr"/>
      <c r="C44" s="4" t="inlineStr">
        <is>
          <t>2027</t>
        </is>
      </c>
      <c r="D44" s="4" t="inlineStr">
        <is>
          <t>2028</t>
        </is>
      </c>
      <c r="E44" s="4" t="inlineStr">
        <is>
          <t>2029</t>
        </is>
      </c>
      <c r="F44" s="4" t="inlineStr">
        <is>
          <t>2030</t>
        </is>
      </c>
      <c r="G44" s="4" t="inlineStr">
        <is>
          <t>2031</t>
        </is>
      </c>
      <c r="H44" s="4" t="inlineStr">
        <is>
          <t>2032</t>
        </is>
      </c>
      <c r="I44" s="4" t="inlineStr">
        <is>
          <t>2033</t>
        </is>
      </c>
      <c r="J44" s="4" t="inlineStr">
        <is>
          <t>2034</t>
        </is>
      </c>
      <c r="K44" s="4" t="inlineStr">
        <is>
          <t>2035</t>
        </is>
      </c>
    </row>
    <row r="45">
      <c r="A45" s="5" t="inlineStr">
        <is>
          <t>Deliveries (thousands)</t>
        </is>
      </c>
      <c r="C45" s="29">
        <f>Scenarios!B20</f>
        <v/>
      </c>
      <c r="D45" s="29">
        <f>Scenarios!C20</f>
        <v/>
      </c>
      <c r="E45" s="29">
        <f>Scenarios!D20</f>
        <v/>
      </c>
      <c r="F45" s="29">
        <f>Scenarios!E20</f>
        <v/>
      </c>
      <c r="G45" s="29">
        <f>Scenarios!F20</f>
        <v/>
      </c>
      <c r="H45" s="29">
        <f>Scenarios!G20</f>
        <v/>
      </c>
      <c r="I45" s="29">
        <f>Scenarios!H20</f>
        <v/>
      </c>
      <c r="J45" s="29">
        <f>Scenarios!I20</f>
        <v/>
      </c>
      <c r="K45" s="29">
        <f>Scenarios!J20</f>
        <v/>
      </c>
    </row>
    <row r="46">
      <c r="A46" s="5" t="inlineStr">
        <is>
          <t>Automotive ASP ($ thousands)</t>
        </is>
      </c>
      <c r="C46" s="29">
        <f>Scenarios!B21</f>
        <v/>
      </c>
      <c r="D46" s="29">
        <f>Scenarios!C21</f>
        <v/>
      </c>
      <c r="E46" s="29">
        <f>Scenarios!D21</f>
        <v/>
      </c>
      <c r="F46" s="29">
        <f>Scenarios!E21</f>
        <v/>
      </c>
      <c r="G46" s="29">
        <f>Scenarios!F21</f>
        <v/>
      </c>
      <c r="H46" s="29">
        <f>Scenarios!G21</f>
        <v/>
      </c>
      <c r="I46" s="29">
        <f>Scenarios!H21</f>
        <v/>
      </c>
      <c r="J46" s="29">
        <f>Scenarios!I21</f>
        <v/>
      </c>
      <c r="K46" s="29">
        <f>Scenarios!J21</f>
        <v/>
      </c>
    </row>
    <row r="47">
      <c r="A47" s="5" t="inlineStr">
        <is>
          <t>Automotive revenue</t>
        </is>
      </c>
      <c r="C47" s="22">
        <f>C45*C46/1000</f>
        <v/>
      </c>
      <c r="D47" s="22">
        <f>D45*D46/1000</f>
        <v/>
      </c>
      <c r="E47" s="22">
        <f>E45*E46/1000</f>
        <v/>
      </c>
      <c r="F47" s="22">
        <f>F45*F46/1000</f>
        <v/>
      </c>
      <c r="G47" s="22">
        <f>G45*G46/1000</f>
        <v/>
      </c>
      <c r="H47" s="22">
        <f>H45*H46/1000</f>
        <v/>
      </c>
      <c r="I47" s="22">
        <f>I45*I46/1000</f>
        <v/>
      </c>
      <c r="J47" s="22">
        <f>J45*J46/1000</f>
        <v/>
      </c>
      <c r="K47" s="22">
        <f>K45*K46/1000</f>
        <v/>
      </c>
    </row>
    <row r="48">
      <c r="A48" s="5" t="inlineStr">
        <is>
          <t>Software &amp; services revenue</t>
        </is>
      </c>
      <c r="C48" s="30">
        <f>Scenarios!B23</f>
        <v/>
      </c>
      <c r="D48" s="30">
        <f>Scenarios!C23</f>
        <v/>
      </c>
      <c r="E48" s="30">
        <f>Scenarios!D23</f>
        <v/>
      </c>
      <c r="F48" s="30">
        <f>Scenarios!E23</f>
        <v/>
      </c>
      <c r="G48" s="30">
        <f>Scenarios!F23</f>
        <v/>
      </c>
      <c r="H48" s="30">
        <f>Scenarios!G23</f>
        <v/>
      </c>
      <c r="I48" s="30">
        <f>Scenarios!H23</f>
        <v/>
      </c>
      <c r="J48" s="30">
        <f>Scenarios!I23</f>
        <v/>
      </c>
      <c r="K48" s="30">
        <f>Scenarios!J23</f>
        <v/>
      </c>
    </row>
    <row r="49">
      <c r="A49" s="9" t="inlineStr">
        <is>
          <t>Total revenue</t>
        </is>
      </c>
      <c r="C49" s="22">
        <f>C47+C48</f>
        <v/>
      </c>
      <c r="D49" s="22">
        <f>D47+D48</f>
        <v/>
      </c>
      <c r="E49" s="22">
        <f>E47+E48</f>
        <v/>
      </c>
      <c r="F49" s="22">
        <f>F47+F48</f>
        <v/>
      </c>
      <c r="G49" s="22">
        <f>G47+G48</f>
        <v/>
      </c>
      <c r="H49" s="22">
        <f>H47+H48</f>
        <v/>
      </c>
      <c r="I49" s="22">
        <f>I47+I48</f>
        <v/>
      </c>
      <c r="J49" s="22">
        <f>J47+J48</f>
        <v/>
      </c>
      <c r="K49" s="22">
        <f>K47+K48</f>
        <v/>
      </c>
    </row>
    <row r="50">
      <c r="A50" s="5" t="inlineStr">
        <is>
          <t>Automotive gross margin</t>
        </is>
      </c>
      <c r="C50" s="6">
        <f>Scenarios!B22</f>
        <v/>
      </c>
      <c r="D50" s="6">
        <f>Scenarios!C22</f>
        <v/>
      </c>
      <c r="E50" s="6">
        <f>Scenarios!D22</f>
        <v/>
      </c>
      <c r="F50" s="6">
        <f>Scenarios!E22</f>
        <v/>
      </c>
      <c r="G50" s="6">
        <f>Scenarios!F22</f>
        <v/>
      </c>
      <c r="H50" s="6">
        <f>Scenarios!G22</f>
        <v/>
      </c>
      <c r="I50" s="6">
        <f>Scenarios!H22</f>
        <v/>
      </c>
      <c r="J50" s="6">
        <f>Scenarios!I22</f>
        <v/>
      </c>
      <c r="K50" s="6">
        <f>Scenarios!J22</f>
        <v/>
      </c>
    </row>
    <row r="51">
      <c r="A51" s="5" t="inlineStr">
        <is>
          <t>Automotive gross profit</t>
        </is>
      </c>
      <c r="C51" s="22">
        <f>C47*C50</f>
        <v/>
      </c>
      <c r="D51" s="22">
        <f>D47*D50</f>
        <v/>
      </c>
      <c r="E51" s="22">
        <f>E47*E50</f>
        <v/>
      </c>
      <c r="F51" s="22">
        <f>F47*F50</f>
        <v/>
      </c>
      <c r="G51" s="22">
        <f>G47*G50</f>
        <v/>
      </c>
      <c r="H51" s="22">
        <f>H47*H50</f>
        <v/>
      </c>
      <c r="I51" s="22">
        <f>I47*I50</f>
        <v/>
      </c>
      <c r="J51" s="22">
        <f>J47*J50</f>
        <v/>
      </c>
      <c r="K51" s="22">
        <f>K47*K50</f>
        <v/>
      </c>
    </row>
    <row r="52">
      <c r="A52" s="5" t="inlineStr">
        <is>
          <t>Software &amp; services gross margin</t>
        </is>
      </c>
      <c r="C52" s="6">
        <f>Scenarios!B24</f>
        <v/>
      </c>
      <c r="D52" s="6">
        <f>Scenarios!C24</f>
        <v/>
      </c>
      <c r="E52" s="6">
        <f>Scenarios!D24</f>
        <v/>
      </c>
      <c r="F52" s="6">
        <f>Scenarios!E24</f>
        <v/>
      </c>
      <c r="G52" s="6">
        <f>Scenarios!F24</f>
        <v/>
      </c>
      <c r="H52" s="6">
        <f>Scenarios!G24</f>
        <v/>
      </c>
      <c r="I52" s="6">
        <f>Scenarios!H24</f>
        <v/>
      </c>
      <c r="J52" s="6">
        <f>Scenarios!I24</f>
        <v/>
      </c>
      <c r="K52" s="6">
        <f>Scenarios!J24</f>
        <v/>
      </c>
    </row>
    <row r="53">
      <c r="A53" s="5" t="inlineStr">
        <is>
          <t>Software &amp; services gross profit</t>
        </is>
      </c>
      <c r="C53" s="22">
        <f>C48*C52</f>
        <v/>
      </c>
      <c r="D53" s="22">
        <f>D48*D52</f>
        <v/>
      </c>
      <c r="E53" s="22">
        <f>E48*E52</f>
        <v/>
      </c>
      <c r="F53" s="22">
        <f>F48*F52</f>
        <v/>
      </c>
      <c r="G53" s="22">
        <f>G48*G52</f>
        <v/>
      </c>
      <c r="H53" s="22">
        <f>H48*H52</f>
        <v/>
      </c>
      <c r="I53" s="22">
        <f>I48*I52</f>
        <v/>
      </c>
      <c r="J53" s="22">
        <f>J48*J52</f>
        <v/>
      </c>
      <c r="K53" s="22">
        <f>K48*K52</f>
        <v/>
      </c>
    </row>
    <row r="54">
      <c r="A54" s="9" t="inlineStr">
        <is>
          <t>Gross profit</t>
        </is>
      </c>
      <c r="C54" s="22">
        <f>C51+C53</f>
        <v/>
      </c>
      <c r="D54" s="22">
        <f>D51+D53</f>
        <v/>
      </c>
      <c r="E54" s="22">
        <f>E51+E53</f>
        <v/>
      </c>
      <c r="F54" s="22">
        <f>F51+F53</f>
        <v/>
      </c>
      <c r="G54" s="22">
        <f>G51+G53</f>
        <v/>
      </c>
      <c r="H54" s="22">
        <f>H51+H53</f>
        <v/>
      </c>
      <c r="I54" s="22">
        <f>I51+I53</f>
        <v/>
      </c>
      <c r="J54" s="22">
        <f>J51+J53</f>
        <v/>
      </c>
      <c r="K54" s="22">
        <f>K51+K53</f>
        <v/>
      </c>
    </row>
    <row r="55">
      <c r="A55" s="5" t="inlineStr">
        <is>
          <t>Gross margin</t>
        </is>
      </c>
      <c r="C55" s="8">
        <f>IF(C49=0,0,C54/C49)</f>
        <v/>
      </c>
      <c r="D55" s="8">
        <f>IF(D49=0,0,D54/D49)</f>
        <v/>
      </c>
      <c r="E55" s="8">
        <f>IF(E49=0,0,E54/E49)</f>
        <v/>
      </c>
      <c r="F55" s="8">
        <f>IF(F49=0,0,F54/F49)</f>
        <v/>
      </c>
      <c r="G55" s="8">
        <f>IF(G49=0,0,G54/G49)</f>
        <v/>
      </c>
      <c r="H55" s="8">
        <f>IF(H49=0,0,H54/H49)</f>
        <v/>
      </c>
      <c r="I55" s="8">
        <f>IF(I49=0,0,I54/I49)</f>
        <v/>
      </c>
      <c r="J55" s="8">
        <f>IF(J49=0,0,J54/J49)</f>
        <v/>
      </c>
      <c r="K55" s="8">
        <f>IF(K49=0,0,K54/K49)</f>
        <v/>
      </c>
    </row>
    <row r="56">
      <c r="A56" s="5" t="inlineStr">
        <is>
          <t>R&amp;D + SG&amp;A incl. SBC</t>
        </is>
      </c>
      <c r="C56" s="30">
        <f>Scenarios!B25</f>
        <v/>
      </c>
      <c r="D56" s="30">
        <f>Scenarios!C25</f>
        <v/>
      </c>
      <c r="E56" s="30">
        <f>Scenarios!D25</f>
        <v/>
      </c>
      <c r="F56" s="30">
        <f>Scenarios!E25</f>
        <v/>
      </c>
      <c r="G56" s="30">
        <f>Scenarios!F25</f>
        <v/>
      </c>
      <c r="H56" s="30">
        <f>Scenarios!G25</f>
        <v/>
      </c>
      <c r="I56" s="30">
        <f>Scenarios!H25</f>
        <v/>
      </c>
      <c r="J56" s="30">
        <f>Scenarios!I25</f>
        <v/>
      </c>
      <c r="K56" s="30">
        <f>Scenarios!J25</f>
        <v/>
      </c>
    </row>
    <row r="57">
      <c r="A57" s="9" t="inlineStr">
        <is>
          <t>EBIT</t>
        </is>
      </c>
      <c r="C57" s="22">
        <f>C54-C56</f>
        <v/>
      </c>
      <c r="D57" s="22">
        <f>D54-D56</f>
        <v/>
      </c>
      <c r="E57" s="22">
        <f>E54-E56</f>
        <v/>
      </c>
      <c r="F57" s="22">
        <f>F54-F56</f>
        <v/>
      </c>
      <c r="G57" s="22">
        <f>G54-G56</f>
        <v/>
      </c>
      <c r="H57" s="22">
        <f>H54-H56</f>
        <v/>
      </c>
      <c r="I57" s="22">
        <f>I54-I56</f>
        <v/>
      </c>
      <c r="J57" s="22">
        <f>J54-J56</f>
        <v/>
      </c>
      <c r="K57" s="22">
        <f>K54-K56</f>
        <v/>
      </c>
    </row>
    <row r="58">
      <c r="A58" s="5" t="inlineStr">
        <is>
          <t>EBIT margin</t>
        </is>
      </c>
      <c r="C58" s="8">
        <f>IF(C49=0,0,C57/C49)</f>
        <v/>
      </c>
      <c r="D58" s="8">
        <f>IF(D49=0,0,D57/D49)</f>
        <v/>
      </c>
      <c r="E58" s="8">
        <f>IF(E49=0,0,E57/E49)</f>
        <v/>
      </c>
      <c r="F58" s="8">
        <f>IF(F49=0,0,F57/F49)</f>
        <v/>
      </c>
      <c r="G58" s="8">
        <f>IF(G49=0,0,G57/G49)</f>
        <v/>
      </c>
      <c r="H58" s="8">
        <f>IF(H49=0,0,H57/H49)</f>
        <v/>
      </c>
      <c r="I58" s="8">
        <f>IF(I49=0,0,I57/I49)</f>
        <v/>
      </c>
      <c r="J58" s="8">
        <f>IF(J49=0,0,J57/J49)</f>
        <v/>
      </c>
      <c r="K58" s="8">
        <f>IF(K49=0,0,K57/K49)</f>
        <v/>
      </c>
    </row>
    <row r="59">
      <c r="A59" s="5" t="inlineStr">
        <is>
          <t>Depreciation &amp; amortization</t>
        </is>
      </c>
      <c r="C59" s="30">
        <f>Scenarios!B26</f>
        <v/>
      </c>
      <c r="D59" s="30">
        <f>Scenarios!C26</f>
        <v/>
      </c>
      <c r="E59" s="30">
        <f>Scenarios!D26</f>
        <v/>
      </c>
      <c r="F59" s="30">
        <f>Scenarios!E26</f>
        <v/>
      </c>
      <c r="G59" s="30">
        <f>Scenarios!F26</f>
        <v/>
      </c>
      <c r="H59" s="30">
        <f>Scenarios!G26</f>
        <v/>
      </c>
      <c r="I59" s="30">
        <f>Scenarios!H26</f>
        <v/>
      </c>
      <c r="J59" s="30">
        <f>Scenarios!I26</f>
        <v/>
      </c>
      <c r="K59" s="30">
        <f>Scenarios!J26</f>
        <v/>
      </c>
    </row>
    <row r="60">
      <c r="A60" s="9" t="inlineStr">
        <is>
          <t>EBITDA</t>
        </is>
      </c>
      <c r="C60" s="22">
        <f>C57+C59</f>
        <v/>
      </c>
      <c r="D60" s="22">
        <f>D57+D59</f>
        <v/>
      </c>
      <c r="E60" s="22">
        <f>E57+E59</f>
        <v/>
      </c>
      <c r="F60" s="22">
        <f>F57+F59</f>
        <v/>
      </c>
      <c r="G60" s="22">
        <f>G57+G59</f>
        <v/>
      </c>
      <c r="H60" s="22">
        <f>H57+H59</f>
        <v/>
      </c>
      <c r="I60" s="22">
        <f>I57+I59</f>
        <v/>
      </c>
      <c r="J60" s="22">
        <f>J57+J59</f>
        <v/>
      </c>
      <c r="K60" s="22">
        <f>K57+K59</f>
        <v/>
      </c>
    </row>
    <row r="61">
      <c r="A61" s="5" t="inlineStr">
        <is>
          <t>Capital expenditures</t>
        </is>
      </c>
      <c r="C61" s="30">
        <f>Scenarios!B27</f>
        <v/>
      </c>
      <c r="D61" s="30">
        <f>Scenarios!C27</f>
        <v/>
      </c>
      <c r="E61" s="30">
        <f>Scenarios!D27</f>
        <v/>
      </c>
      <c r="F61" s="30">
        <f>Scenarios!E27</f>
        <v/>
      </c>
      <c r="G61" s="30">
        <f>Scenarios!F27</f>
        <v/>
      </c>
      <c r="H61" s="30">
        <f>Scenarios!G27</f>
        <v/>
      </c>
      <c r="I61" s="30">
        <f>Scenarios!H27</f>
        <v/>
      </c>
      <c r="J61" s="30">
        <f>Scenarios!I27</f>
        <v/>
      </c>
      <c r="K61" s="30">
        <f>Scenarios!J27</f>
        <v/>
      </c>
    </row>
    <row r="62">
      <c r="A62" s="5" t="inlineStr">
        <is>
          <t>Change in net working capital</t>
        </is>
      </c>
      <c r="C62" s="22">
        <f>Inputs!$C$30*(C49-Inputs!$C$13)</f>
        <v/>
      </c>
      <c r="D62" s="22">
        <f>Inputs!$C$30*(D49-C49)</f>
        <v/>
      </c>
      <c r="E62" s="22">
        <f>Inputs!$C$30*(E49-D49)</f>
        <v/>
      </c>
      <c r="F62" s="22">
        <f>Inputs!$C$30*(F49-E49)</f>
        <v/>
      </c>
      <c r="G62" s="22">
        <f>Inputs!$C$30*(G49-F49)</f>
        <v/>
      </c>
      <c r="H62" s="22">
        <f>Inputs!$C$30*(H49-G49)</f>
        <v/>
      </c>
      <c r="I62" s="22">
        <f>Inputs!$C$30*(I49-H49)</f>
        <v/>
      </c>
      <c r="J62" s="22">
        <f>Inputs!$C$30*(J49-I49)</f>
        <v/>
      </c>
      <c r="K62" s="22">
        <f>Inputs!$C$30*(K49-J49)</f>
        <v/>
      </c>
    </row>
    <row r="63">
      <c r="A63" s="9" t="inlineStr">
        <is>
          <t>Unlevered free cash flow</t>
        </is>
      </c>
      <c r="C63" s="22">
        <f>C57+C59-C61-C62</f>
        <v/>
      </c>
      <c r="D63" s="22">
        <f>D57+D59-D61-D62</f>
        <v/>
      </c>
      <c r="E63" s="22">
        <f>E57+E59-E61-E62</f>
        <v/>
      </c>
      <c r="F63" s="22">
        <f>F57+F59-F61-F62</f>
        <v/>
      </c>
      <c r="G63" s="22">
        <f>G57+G59-G61-G62</f>
        <v/>
      </c>
      <c r="H63" s="22">
        <f>H57+H59-H61-H62</f>
        <v/>
      </c>
      <c r="I63" s="22">
        <f>I57+I59-I61-I62</f>
        <v/>
      </c>
      <c r="J63" s="22">
        <f>J57+J59-J61-J62</f>
        <v/>
      </c>
      <c r="K63" s="22">
        <f>K57+K59-K61-K62</f>
        <v/>
      </c>
    </row>
    <row r="64">
      <c r="A64" s="5" t="inlineStr">
        <is>
          <t>Discount period (years)</t>
        </is>
      </c>
      <c r="C64" s="31">
        <f>2027+0.5-Inputs!$C$12</f>
        <v/>
      </c>
      <c r="D64" s="31">
        <f>2028+0.5-Inputs!$C$12</f>
        <v/>
      </c>
      <c r="E64" s="31">
        <f>2029+0.5-Inputs!$C$12</f>
        <v/>
      </c>
      <c r="F64" s="31">
        <f>2030+0.5-Inputs!$C$12</f>
        <v/>
      </c>
      <c r="G64" s="31">
        <f>2031+0.5-Inputs!$C$12</f>
        <v/>
      </c>
      <c r="H64" s="31">
        <f>2032+0.5-Inputs!$C$12</f>
        <v/>
      </c>
      <c r="I64" s="31">
        <f>2033+0.5-Inputs!$C$12</f>
        <v/>
      </c>
      <c r="J64" s="31">
        <f>2034+0.5-Inputs!$C$12</f>
        <v/>
      </c>
      <c r="K64" s="31">
        <f>2035+0.5-Inputs!$C$12</f>
        <v/>
      </c>
    </row>
    <row r="65">
      <c r="A65" s="5" t="inlineStr">
        <is>
          <t>Discount factor</t>
        </is>
      </c>
      <c r="C65" s="32">
        <f>1/(1+Inputs!$C$24)^C64</f>
        <v/>
      </c>
      <c r="D65" s="32">
        <f>1/(1+Inputs!$C$24)^D64</f>
        <v/>
      </c>
      <c r="E65" s="32">
        <f>1/(1+Inputs!$C$24)^E64</f>
        <v/>
      </c>
      <c r="F65" s="32">
        <f>1/(1+Inputs!$C$24)^F64</f>
        <v/>
      </c>
      <c r="G65" s="32">
        <f>1/(1+Inputs!$C$24)^G64</f>
        <v/>
      </c>
      <c r="H65" s="32">
        <f>1/(1+Inputs!$C$24)^H64</f>
        <v/>
      </c>
      <c r="I65" s="32">
        <f>1/(1+Inputs!$C$24)^I64</f>
        <v/>
      </c>
      <c r="J65" s="32">
        <f>1/(1+Inputs!$C$24)^J64</f>
        <v/>
      </c>
      <c r="K65" s="32">
        <f>1/(1+Inputs!$C$24)^K64</f>
        <v/>
      </c>
    </row>
    <row r="66">
      <c r="A66" s="9" t="inlineStr">
        <is>
          <t>PV of unlevered FCF</t>
        </is>
      </c>
      <c r="C66" s="22">
        <f>C63*C65</f>
        <v/>
      </c>
      <c r="D66" s="22">
        <f>D63*D65</f>
        <v/>
      </c>
      <c r="E66" s="22">
        <f>E63*E65</f>
        <v/>
      </c>
      <c r="F66" s="22">
        <f>F63*F65</f>
        <v/>
      </c>
      <c r="G66" s="22">
        <f>G63*G65</f>
        <v/>
      </c>
      <c r="H66" s="22">
        <f>H63*H65</f>
        <v/>
      </c>
      <c r="I66" s="22">
        <f>I63*I65</f>
        <v/>
      </c>
      <c r="J66" s="22">
        <f>J63*J65</f>
        <v/>
      </c>
      <c r="K66" s="22">
        <f>K63*K65</f>
        <v/>
      </c>
    </row>
    <row r="68">
      <c r="A68" s="5" t="inlineStr">
        <is>
          <t>Normalized terminal FCF (2035)</t>
        </is>
      </c>
      <c r="C68" s="22">
        <f>K57*(1-Inputs!$C$28)+K59*(1-Inputs!$C$29)-Inputs!$C$30*K49*Inputs!$C$27</f>
        <v/>
      </c>
    </row>
    <row r="69">
      <c r="A69" s="5" t="inlineStr">
        <is>
          <t>Terminal value, exit multiple</t>
        </is>
      </c>
      <c r="C69" s="22">
        <f>K60*Inputs!$C$26</f>
        <v/>
      </c>
    </row>
    <row r="70">
      <c r="A70" s="5" t="inlineStr">
        <is>
          <t>Terminal value, perpetual growth (cross-check)</t>
        </is>
      </c>
      <c r="C70" s="22">
        <f>$C$68*(1+Inputs!$C$27)/(Inputs!$C$24-Inputs!$C$27)</f>
        <v/>
      </c>
    </row>
    <row r="71">
      <c r="A71" s="5" t="inlineStr">
        <is>
          <t>PV of 2027-2035 FCF + H2 2026 stub</t>
        </is>
      </c>
      <c r="C71" s="22">
        <f>SUM(C66:K66)+Inputs!$C$11</f>
        <v/>
      </c>
    </row>
    <row r="72">
      <c r="A72" s="5" t="inlineStr">
        <is>
          <t>PV of terminal value (exit multiple, end-2035 value)</t>
        </is>
      </c>
      <c r="C72" s="22">
        <f>$C$69/(1+Inputs!$C$24)^(K64+0.5)</f>
        <v/>
      </c>
    </row>
    <row r="73">
      <c r="A73" s="33" t="inlineStr">
        <is>
          <t>Enterprise value</t>
        </is>
      </c>
      <c r="C73" s="34">
        <f>$C$71+$C$72</f>
        <v/>
      </c>
    </row>
    <row r="74">
      <c r="A74" s="5" t="inlineStr">
        <is>
          <t>Equity value</t>
        </is>
      </c>
      <c r="C74" s="22">
        <f>$C$73+Inputs!$C$8</f>
        <v/>
      </c>
    </row>
    <row r="75">
      <c r="A75" s="5" t="inlineStr">
        <is>
          <t>DCF value per share ($)</t>
        </is>
      </c>
      <c r="C75" s="12">
        <f>MAX(0,$C$74*1000/Inputs!$C$5)</f>
        <v/>
      </c>
    </row>
    <row r="76">
      <c r="A76" s="5" t="inlineStr">
        <is>
          <t>Strategic floor per share ($)</t>
        </is>
      </c>
      <c r="C76" s="19" t="n">
        <v>0</v>
      </c>
    </row>
    <row r="77">
      <c r="A77" s="33" t="inlineStr">
        <is>
          <t>Value per share ($)</t>
        </is>
      </c>
      <c r="C77" s="35">
        <f>MAX($C$75,$C$76)</f>
        <v/>
      </c>
    </row>
    <row r="78">
      <c r="A78" s="5" t="inlineStr">
        <is>
          <t>Cross-check: value per share at perpetual growth ($)</t>
        </is>
      </c>
      <c r="C78" s="12">
        <f>MAX(0,($C$71+$C$70*K65+Inputs!$C$8)*1000/Inputs!$C$5)</f>
        <v/>
      </c>
    </row>
    <row r="79">
      <c r="A79" s="5" t="inlineStr">
        <is>
          <t>Perpetual growth implied by the exit multiple</t>
        </is>
      </c>
      <c r="C79" s="8">
        <f>($C$69*Inputs!$C$24-$C$68)/($C$69+$C$68)</f>
        <v/>
      </c>
    </row>
    <row r="82">
      <c r="A82" s="9" t="inlineStr">
        <is>
          <t>Bull case</t>
        </is>
      </c>
    </row>
    <row r="83">
      <c r="A83" s="3" t="inlineStr">
        <is>
          <t>Line item</t>
        </is>
      </c>
      <c r="B83" s="4" t="inlineStr"/>
      <c r="C83" s="4" t="inlineStr">
        <is>
          <t>2027</t>
        </is>
      </c>
      <c r="D83" s="4" t="inlineStr">
        <is>
          <t>2028</t>
        </is>
      </c>
      <c r="E83" s="4" t="inlineStr">
        <is>
          <t>2029</t>
        </is>
      </c>
      <c r="F83" s="4" t="inlineStr">
        <is>
          <t>2030</t>
        </is>
      </c>
      <c r="G83" s="4" t="inlineStr">
        <is>
          <t>2031</t>
        </is>
      </c>
      <c r="H83" s="4" t="inlineStr">
        <is>
          <t>2032</t>
        </is>
      </c>
      <c r="I83" s="4" t="inlineStr">
        <is>
          <t>2033</t>
        </is>
      </c>
      <c r="J83" s="4" t="inlineStr">
        <is>
          <t>2034</t>
        </is>
      </c>
      <c r="K83" s="4" t="inlineStr">
        <is>
          <t>2035</t>
        </is>
      </c>
    </row>
    <row r="84">
      <c r="A84" s="5" t="inlineStr">
        <is>
          <t>Deliveries (thousands)</t>
        </is>
      </c>
      <c r="C84" s="29">
        <f>Scenarios!B33</f>
        <v/>
      </c>
      <c r="D84" s="29">
        <f>Scenarios!C33</f>
        <v/>
      </c>
      <c r="E84" s="29">
        <f>Scenarios!D33</f>
        <v/>
      </c>
      <c r="F84" s="29">
        <f>Scenarios!E33</f>
        <v/>
      </c>
      <c r="G84" s="29">
        <f>Scenarios!F33</f>
        <v/>
      </c>
      <c r="H84" s="29">
        <f>Scenarios!G33</f>
        <v/>
      </c>
      <c r="I84" s="29">
        <f>Scenarios!H33</f>
        <v/>
      </c>
      <c r="J84" s="29">
        <f>Scenarios!I33</f>
        <v/>
      </c>
      <c r="K84" s="29">
        <f>Scenarios!J33</f>
        <v/>
      </c>
    </row>
    <row r="85">
      <c r="A85" s="5" t="inlineStr">
        <is>
          <t>Automotive ASP ($ thousands)</t>
        </is>
      </c>
      <c r="C85" s="29">
        <f>Scenarios!B34</f>
        <v/>
      </c>
      <c r="D85" s="29">
        <f>Scenarios!C34</f>
        <v/>
      </c>
      <c r="E85" s="29">
        <f>Scenarios!D34</f>
        <v/>
      </c>
      <c r="F85" s="29">
        <f>Scenarios!E34</f>
        <v/>
      </c>
      <c r="G85" s="29">
        <f>Scenarios!F34</f>
        <v/>
      </c>
      <c r="H85" s="29">
        <f>Scenarios!G34</f>
        <v/>
      </c>
      <c r="I85" s="29">
        <f>Scenarios!H34</f>
        <v/>
      </c>
      <c r="J85" s="29">
        <f>Scenarios!I34</f>
        <v/>
      </c>
      <c r="K85" s="29">
        <f>Scenarios!J34</f>
        <v/>
      </c>
    </row>
    <row r="86">
      <c r="A86" s="5" t="inlineStr">
        <is>
          <t>Automotive revenue</t>
        </is>
      </c>
      <c r="C86" s="22">
        <f>C84*C85/1000</f>
        <v/>
      </c>
      <c r="D86" s="22">
        <f>D84*D85/1000</f>
        <v/>
      </c>
      <c r="E86" s="22">
        <f>E84*E85/1000</f>
        <v/>
      </c>
      <c r="F86" s="22">
        <f>F84*F85/1000</f>
        <v/>
      </c>
      <c r="G86" s="22">
        <f>G84*G85/1000</f>
        <v/>
      </c>
      <c r="H86" s="22">
        <f>H84*H85/1000</f>
        <v/>
      </c>
      <c r="I86" s="22">
        <f>I84*I85/1000</f>
        <v/>
      </c>
      <c r="J86" s="22">
        <f>J84*J85/1000</f>
        <v/>
      </c>
      <c r="K86" s="22">
        <f>K84*K85/1000</f>
        <v/>
      </c>
    </row>
    <row r="87">
      <c r="A87" s="5" t="inlineStr">
        <is>
          <t>Software &amp; services revenue</t>
        </is>
      </c>
      <c r="C87" s="30">
        <f>Scenarios!B36</f>
        <v/>
      </c>
      <c r="D87" s="30">
        <f>Scenarios!C36</f>
        <v/>
      </c>
      <c r="E87" s="30">
        <f>Scenarios!D36</f>
        <v/>
      </c>
      <c r="F87" s="30">
        <f>Scenarios!E36</f>
        <v/>
      </c>
      <c r="G87" s="30">
        <f>Scenarios!F36</f>
        <v/>
      </c>
      <c r="H87" s="30">
        <f>Scenarios!G36</f>
        <v/>
      </c>
      <c r="I87" s="30">
        <f>Scenarios!H36</f>
        <v/>
      </c>
      <c r="J87" s="30">
        <f>Scenarios!I36</f>
        <v/>
      </c>
      <c r="K87" s="30">
        <f>Scenarios!J36</f>
        <v/>
      </c>
    </row>
    <row r="88">
      <c r="A88" s="9" t="inlineStr">
        <is>
          <t>Total revenue</t>
        </is>
      </c>
      <c r="C88" s="22">
        <f>C86+C87</f>
        <v/>
      </c>
      <c r="D88" s="22">
        <f>D86+D87</f>
        <v/>
      </c>
      <c r="E88" s="22">
        <f>E86+E87</f>
        <v/>
      </c>
      <c r="F88" s="22">
        <f>F86+F87</f>
        <v/>
      </c>
      <c r="G88" s="22">
        <f>G86+G87</f>
        <v/>
      </c>
      <c r="H88" s="22">
        <f>H86+H87</f>
        <v/>
      </c>
      <c r="I88" s="22">
        <f>I86+I87</f>
        <v/>
      </c>
      <c r="J88" s="22">
        <f>J86+J87</f>
        <v/>
      </c>
      <c r="K88" s="22">
        <f>K86+K87</f>
        <v/>
      </c>
    </row>
    <row r="89">
      <c r="A89" s="5" t="inlineStr">
        <is>
          <t>Automotive gross margin</t>
        </is>
      </c>
      <c r="C89" s="6">
        <f>Scenarios!B35</f>
        <v/>
      </c>
      <c r="D89" s="6">
        <f>Scenarios!C35</f>
        <v/>
      </c>
      <c r="E89" s="6">
        <f>Scenarios!D35</f>
        <v/>
      </c>
      <c r="F89" s="6">
        <f>Scenarios!E35</f>
        <v/>
      </c>
      <c r="G89" s="6">
        <f>Scenarios!F35</f>
        <v/>
      </c>
      <c r="H89" s="6">
        <f>Scenarios!G35</f>
        <v/>
      </c>
      <c r="I89" s="6">
        <f>Scenarios!H35</f>
        <v/>
      </c>
      <c r="J89" s="6">
        <f>Scenarios!I35</f>
        <v/>
      </c>
      <c r="K89" s="6">
        <f>Scenarios!J35</f>
        <v/>
      </c>
    </row>
    <row r="90">
      <c r="A90" s="5" t="inlineStr">
        <is>
          <t>Automotive gross profit</t>
        </is>
      </c>
      <c r="C90" s="22">
        <f>C86*C89</f>
        <v/>
      </c>
      <c r="D90" s="22">
        <f>D86*D89</f>
        <v/>
      </c>
      <c r="E90" s="22">
        <f>E86*E89</f>
        <v/>
      </c>
      <c r="F90" s="22">
        <f>F86*F89</f>
        <v/>
      </c>
      <c r="G90" s="22">
        <f>G86*G89</f>
        <v/>
      </c>
      <c r="H90" s="22">
        <f>H86*H89</f>
        <v/>
      </c>
      <c r="I90" s="22">
        <f>I86*I89</f>
        <v/>
      </c>
      <c r="J90" s="22">
        <f>J86*J89</f>
        <v/>
      </c>
      <c r="K90" s="22">
        <f>K86*K89</f>
        <v/>
      </c>
    </row>
    <row r="91">
      <c r="A91" s="5" t="inlineStr">
        <is>
          <t>Software &amp; services gross margin</t>
        </is>
      </c>
      <c r="C91" s="6">
        <f>Scenarios!B37</f>
        <v/>
      </c>
      <c r="D91" s="6">
        <f>Scenarios!C37</f>
        <v/>
      </c>
      <c r="E91" s="6">
        <f>Scenarios!D37</f>
        <v/>
      </c>
      <c r="F91" s="6">
        <f>Scenarios!E37</f>
        <v/>
      </c>
      <c r="G91" s="6">
        <f>Scenarios!F37</f>
        <v/>
      </c>
      <c r="H91" s="6">
        <f>Scenarios!G37</f>
        <v/>
      </c>
      <c r="I91" s="6">
        <f>Scenarios!H37</f>
        <v/>
      </c>
      <c r="J91" s="6">
        <f>Scenarios!I37</f>
        <v/>
      </c>
      <c r="K91" s="6">
        <f>Scenarios!J37</f>
        <v/>
      </c>
    </row>
    <row r="92">
      <c r="A92" s="5" t="inlineStr">
        <is>
          <t>Software &amp; services gross profit</t>
        </is>
      </c>
      <c r="C92" s="22">
        <f>C87*C91</f>
        <v/>
      </c>
      <c r="D92" s="22">
        <f>D87*D91</f>
        <v/>
      </c>
      <c r="E92" s="22">
        <f>E87*E91</f>
        <v/>
      </c>
      <c r="F92" s="22">
        <f>F87*F91</f>
        <v/>
      </c>
      <c r="G92" s="22">
        <f>G87*G91</f>
        <v/>
      </c>
      <c r="H92" s="22">
        <f>H87*H91</f>
        <v/>
      </c>
      <c r="I92" s="22">
        <f>I87*I91</f>
        <v/>
      </c>
      <c r="J92" s="22">
        <f>J87*J91</f>
        <v/>
      </c>
      <c r="K92" s="22">
        <f>K87*K91</f>
        <v/>
      </c>
    </row>
    <row r="93">
      <c r="A93" s="9" t="inlineStr">
        <is>
          <t>Gross profit</t>
        </is>
      </c>
      <c r="C93" s="22">
        <f>C90+C92</f>
        <v/>
      </c>
      <c r="D93" s="22">
        <f>D90+D92</f>
        <v/>
      </c>
      <c r="E93" s="22">
        <f>E90+E92</f>
        <v/>
      </c>
      <c r="F93" s="22">
        <f>F90+F92</f>
        <v/>
      </c>
      <c r="G93" s="22">
        <f>G90+G92</f>
        <v/>
      </c>
      <c r="H93" s="22">
        <f>H90+H92</f>
        <v/>
      </c>
      <c r="I93" s="22">
        <f>I90+I92</f>
        <v/>
      </c>
      <c r="J93" s="22">
        <f>J90+J92</f>
        <v/>
      </c>
      <c r="K93" s="22">
        <f>K90+K92</f>
        <v/>
      </c>
    </row>
    <row r="94">
      <c r="A94" s="5" t="inlineStr">
        <is>
          <t>Gross margin</t>
        </is>
      </c>
      <c r="C94" s="8">
        <f>IF(C88=0,0,C93/C88)</f>
        <v/>
      </c>
      <c r="D94" s="8">
        <f>IF(D88=0,0,D93/D88)</f>
        <v/>
      </c>
      <c r="E94" s="8">
        <f>IF(E88=0,0,E93/E88)</f>
        <v/>
      </c>
      <c r="F94" s="8">
        <f>IF(F88=0,0,F93/F88)</f>
        <v/>
      </c>
      <c r="G94" s="8">
        <f>IF(G88=0,0,G93/G88)</f>
        <v/>
      </c>
      <c r="H94" s="8">
        <f>IF(H88=0,0,H93/H88)</f>
        <v/>
      </c>
      <c r="I94" s="8">
        <f>IF(I88=0,0,I93/I88)</f>
        <v/>
      </c>
      <c r="J94" s="8">
        <f>IF(J88=0,0,J93/J88)</f>
        <v/>
      </c>
      <c r="K94" s="8">
        <f>IF(K88=0,0,K93/K88)</f>
        <v/>
      </c>
    </row>
    <row r="95">
      <c r="A95" s="5" t="inlineStr">
        <is>
          <t>R&amp;D + SG&amp;A incl. SBC</t>
        </is>
      </c>
      <c r="C95" s="30">
        <f>Scenarios!B38</f>
        <v/>
      </c>
      <c r="D95" s="30">
        <f>Scenarios!C38</f>
        <v/>
      </c>
      <c r="E95" s="30">
        <f>Scenarios!D38</f>
        <v/>
      </c>
      <c r="F95" s="30">
        <f>Scenarios!E38</f>
        <v/>
      </c>
      <c r="G95" s="30">
        <f>Scenarios!F38</f>
        <v/>
      </c>
      <c r="H95" s="30">
        <f>Scenarios!G38</f>
        <v/>
      </c>
      <c r="I95" s="30">
        <f>Scenarios!H38</f>
        <v/>
      </c>
      <c r="J95" s="30">
        <f>Scenarios!I38</f>
        <v/>
      </c>
      <c r="K95" s="30">
        <f>Scenarios!J38</f>
        <v/>
      </c>
    </row>
    <row r="96">
      <c r="A96" s="9" t="inlineStr">
        <is>
          <t>EBIT</t>
        </is>
      </c>
      <c r="C96" s="22">
        <f>C93-C95</f>
        <v/>
      </c>
      <c r="D96" s="22">
        <f>D93-D95</f>
        <v/>
      </c>
      <c r="E96" s="22">
        <f>E93-E95</f>
        <v/>
      </c>
      <c r="F96" s="22">
        <f>F93-F95</f>
        <v/>
      </c>
      <c r="G96" s="22">
        <f>G93-G95</f>
        <v/>
      </c>
      <c r="H96" s="22">
        <f>H93-H95</f>
        <v/>
      </c>
      <c r="I96" s="22">
        <f>I93-I95</f>
        <v/>
      </c>
      <c r="J96" s="22">
        <f>J93-J95</f>
        <v/>
      </c>
      <c r="K96" s="22">
        <f>K93-K95</f>
        <v/>
      </c>
    </row>
    <row r="97">
      <c r="A97" s="5" t="inlineStr">
        <is>
          <t>EBIT margin</t>
        </is>
      </c>
      <c r="C97" s="8">
        <f>IF(C88=0,0,C96/C88)</f>
        <v/>
      </c>
      <c r="D97" s="8">
        <f>IF(D88=0,0,D96/D88)</f>
        <v/>
      </c>
      <c r="E97" s="8">
        <f>IF(E88=0,0,E96/E88)</f>
        <v/>
      </c>
      <c r="F97" s="8">
        <f>IF(F88=0,0,F96/F88)</f>
        <v/>
      </c>
      <c r="G97" s="8">
        <f>IF(G88=0,0,G96/G88)</f>
        <v/>
      </c>
      <c r="H97" s="8">
        <f>IF(H88=0,0,H96/H88)</f>
        <v/>
      </c>
      <c r="I97" s="8">
        <f>IF(I88=0,0,I96/I88)</f>
        <v/>
      </c>
      <c r="J97" s="8">
        <f>IF(J88=0,0,J96/J88)</f>
        <v/>
      </c>
      <c r="K97" s="8">
        <f>IF(K88=0,0,K96/K88)</f>
        <v/>
      </c>
    </row>
    <row r="98">
      <c r="A98" s="5" t="inlineStr">
        <is>
          <t>Depreciation &amp; amortization</t>
        </is>
      </c>
      <c r="C98" s="30">
        <f>Scenarios!B39</f>
        <v/>
      </c>
      <c r="D98" s="30">
        <f>Scenarios!C39</f>
        <v/>
      </c>
      <c r="E98" s="30">
        <f>Scenarios!D39</f>
        <v/>
      </c>
      <c r="F98" s="30">
        <f>Scenarios!E39</f>
        <v/>
      </c>
      <c r="G98" s="30">
        <f>Scenarios!F39</f>
        <v/>
      </c>
      <c r="H98" s="30">
        <f>Scenarios!G39</f>
        <v/>
      </c>
      <c r="I98" s="30">
        <f>Scenarios!H39</f>
        <v/>
      </c>
      <c r="J98" s="30">
        <f>Scenarios!I39</f>
        <v/>
      </c>
      <c r="K98" s="30">
        <f>Scenarios!J39</f>
        <v/>
      </c>
    </row>
    <row r="99">
      <c r="A99" s="9" t="inlineStr">
        <is>
          <t>EBITDA</t>
        </is>
      </c>
      <c r="C99" s="22">
        <f>C96+C98</f>
        <v/>
      </c>
      <c r="D99" s="22">
        <f>D96+D98</f>
        <v/>
      </c>
      <c r="E99" s="22">
        <f>E96+E98</f>
        <v/>
      </c>
      <c r="F99" s="22">
        <f>F96+F98</f>
        <v/>
      </c>
      <c r="G99" s="22">
        <f>G96+G98</f>
        <v/>
      </c>
      <c r="H99" s="22">
        <f>H96+H98</f>
        <v/>
      </c>
      <c r="I99" s="22">
        <f>I96+I98</f>
        <v/>
      </c>
      <c r="J99" s="22">
        <f>J96+J98</f>
        <v/>
      </c>
      <c r="K99" s="22">
        <f>K96+K98</f>
        <v/>
      </c>
    </row>
    <row r="100">
      <c r="A100" s="5" t="inlineStr">
        <is>
          <t>Capital expenditures</t>
        </is>
      </c>
      <c r="C100" s="30">
        <f>Scenarios!B40</f>
        <v/>
      </c>
      <c r="D100" s="30">
        <f>Scenarios!C40</f>
        <v/>
      </c>
      <c r="E100" s="30">
        <f>Scenarios!D40</f>
        <v/>
      </c>
      <c r="F100" s="30">
        <f>Scenarios!E40</f>
        <v/>
      </c>
      <c r="G100" s="30">
        <f>Scenarios!F40</f>
        <v/>
      </c>
      <c r="H100" s="30">
        <f>Scenarios!G40</f>
        <v/>
      </c>
      <c r="I100" s="30">
        <f>Scenarios!H40</f>
        <v/>
      </c>
      <c r="J100" s="30">
        <f>Scenarios!I40</f>
        <v/>
      </c>
      <c r="K100" s="30">
        <f>Scenarios!J40</f>
        <v/>
      </c>
    </row>
    <row r="101">
      <c r="A101" s="5" t="inlineStr">
        <is>
          <t>Change in net working capital</t>
        </is>
      </c>
      <c r="C101" s="22">
        <f>Inputs!$C$30*(C88-Inputs!$C$13)</f>
        <v/>
      </c>
      <c r="D101" s="22">
        <f>Inputs!$C$30*(D88-C88)</f>
        <v/>
      </c>
      <c r="E101" s="22">
        <f>Inputs!$C$30*(E88-D88)</f>
        <v/>
      </c>
      <c r="F101" s="22">
        <f>Inputs!$C$30*(F88-E88)</f>
        <v/>
      </c>
      <c r="G101" s="22">
        <f>Inputs!$C$30*(G88-F88)</f>
        <v/>
      </c>
      <c r="H101" s="22">
        <f>Inputs!$C$30*(H88-G88)</f>
        <v/>
      </c>
      <c r="I101" s="22">
        <f>Inputs!$C$30*(I88-H88)</f>
        <v/>
      </c>
      <c r="J101" s="22">
        <f>Inputs!$C$30*(J88-I88)</f>
        <v/>
      </c>
      <c r="K101" s="22">
        <f>Inputs!$C$30*(K88-J88)</f>
        <v/>
      </c>
    </row>
    <row r="102">
      <c r="A102" s="9" t="inlineStr">
        <is>
          <t>Unlevered free cash flow</t>
        </is>
      </c>
      <c r="C102" s="22">
        <f>C96+C98-C100-C101</f>
        <v/>
      </c>
      <c r="D102" s="22">
        <f>D96+D98-D100-D101</f>
        <v/>
      </c>
      <c r="E102" s="22">
        <f>E96+E98-E100-E101</f>
        <v/>
      </c>
      <c r="F102" s="22">
        <f>F96+F98-F100-F101</f>
        <v/>
      </c>
      <c r="G102" s="22">
        <f>G96+G98-G100-G101</f>
        <v/>
      </c>
      <c r="H102" s="22">
        <f>H96+H98-H100-H101</f>
        <v/>
      </c>
      <c r="I102" s="22">
        <f>I96+I98-I100-I101</f>
        <v/>
      </c>
      <c r="J102" s="22">
        <f>J96+J98-J100-J101</f>
        <v/>
      </c>
      <c r="K102" s="22">
        <f>K96+K98-K100-K101</f>
        <v/>
      </c>
    </row>
    <row r="103">
      <c r="A103" s="5" t="inlineStr">
        <is>
          <t>Discount period (years)</t>
        </is>
      </c>
      <c r="C103" s="31">
        <f>2027+0.5-Inputs!$C$12</f>
        <v/>
      </c>
      <c r="D103" s="31">
        <f>2028+0.5-Inputs!$C$12</f>
        <v/>
      </c>
      <c r="E103" s="31">
        <f>2029+0.5-Inputs!$C$12</f>
        <v/>
      </c>
      <c r="F103" s="31">
        <f>2030+0.5-Inputs!$C$12</f>
        <v/>
      </c>
      <c r="G103" s="31">
        <f>2031+0.5-Inputs!$C$12</f>
        <v/>
      </c>
      <c r="H103" s="31">
        <f>2032+0.5-Inputs!$C$12</f>
        <v/>
      </c>
      <c r="I103" s="31">
        <f>2033+0.5-Inputs!$C$12</f>
        <v/>
      </c>
      <c r="J103" s="31">
        <f>2034+0.5-Inputs!$C$12</f>
        <v/>
      </c>
      <c r="K103" s="31">
        <f>2035+0.5-Inputs!$C$12</f>
        <v/>
      </c>
    </row>
    <row r="104">
      <c r="A104" s="5" t="inlineStr">
        <is>
          <t>Discount factor</t>
        </is>
      </c>
      <c r="C104" s="32">
        <f>1/(1+Inputs!$C$24)^C103</f>
        <v/>
      </c>
      <c r="D104" s="32">
        <f>1/(1+Inputs!$C$24)^D103</f>
        <v/>
      </c>
      <c r="E104" s="32">
        <f>1/(1+Inputs!$C$24)^E103</f>
        <v/>
      </c>
      <c r="F104" s="32">
        <f>1/(1+Inputs!$C$24)^F103</f>
        <v/>
      </c>
      <c r="G104" s="32">
        <f>1/(1+Inputs!$C$24)^G103</f>
        <v/>
      </c>
      <c r="H104" s="32">
        <f>1/(1+Inputs!$C$24)^H103</f>
        <v/>
      </c>
      <c r="I104" s="32">
        <f>1/(1+Inputs!$C$24)^I103</f>
        <v/>
      </c>
      <c r="J104" s="32">
        <f>1/(1+Inputs!$C$24)^J103</f>
        <v/>
      </c>
      <c r="K104" s="32">
        <f>1/(1+Inputs!$C$24)^K103</f>
        <v/>
      </c>
    </row>
    <row r="105">
      <c r="A105" s="9" t="inlineStr">
        <is>
          <t>PV of unlevered FCF</t>
        </is>
      </c>
      <c r="C105" s="22">
        <f>C102*C104</f>
        <v/>
      </c>
      <c r="D105" s="22">
        <f>D102*D104</f>
        <v/>
      </c>
      <c r="E105" s="22">
        <f>E102*E104</f>
        <v/>
      </c>
      <c r="F105" s="22">
        <f>F102*F104</f>
        <v/>
      </c>
      <c r="G105" s="22">
        <f>G102*G104</f>
        <v/>
      </c>
      <c r="H105" s="22">
        <f>H102*H104</f>
        <v/>
      </c>
      <c r="I105" s="22">
        <f>I102*I104</f>
        <v/>
      </c>
      <c r="J105" s="22">
        <f>J102*J104</f>
        <v/>
      </c>
      <c r="K105" s="22">
        <f>K102*K104</f>
        <v/>
      </c>
    </row>
    <row r="107">
      <c r="A107" s="5" t="inlineStr">
        <is>
          <t>Normalized terminal FCF (2035)</t>
        </is>
      </c>
      <c r="C107" s="22">
        <f>K96*(1-Inputs!$C$28)+K98*(1-Inputs!$C$29)-Inputs!$C$30*K88*Inputs!$C$27</f>
        <v/>
      </c>
    </row>
    <row r="108">
      <c r="A108" s="5" t="inlineStr">
        <is>
          <t>Terminal value, exit multiple</t>
        </is>
      </c>
      <c r="C108" s="22">
        <f>K99*Inputs!$C$26</f>
        <v/>
      </c>
    </row>
    <row r="109">
      <c r="A109" s="5" t="inlineStr">
        <is>
          <t>Terminal value, perpetual growth (cross-check)</t>
        </is>
      </c>
      <c r="C109" s="22">
        <f>$C$107*(1+Inputs!$C$27)/(Inputs!$C$24-Inputs!$C$27)</f>
        <v/>
      </c>
    </row>
    <row r="110">
      <c r="A110" s="5" t="inlineStr">
        <is>
          <t>PV of 2027-2035 FCF + H2 2026 stub</t>
        </is>
      </c>
      <c r="C110" s="22">
        <f>SUM(C105:K105)+Inputs!$C$11</f>
        <v/>
      </c>
    </row>
    <row r="111">
      <c r="A111" s="5" t="inlineStr">
        <is>
          <t>PV of terminal value (exit multiple, end-2035 value)</t>
        </is>
      </c>
      <c r="C111" s="22">
        <f>$C$108/(1+Inputs!$C$24)^(K103+0.5)</f>
        <v/>
      </c>
    </row>
    <row r="112">
      <c r="A112" s="33" t="inlineStr">
        <is>
          <t>Enterprise value</t>
        </is>
      </c>
      <c r="C112" s="34">
        <f>$C$110+$C$111</f>
        <v/>
      </c>
    </row>
    <row r="113">
      <c r="A113" s="5" t="inlineStr">
        <is>
          <t>Equity value</t>
        </is>
      </c>
      <c r="C113" s="22">
        <f>$C$112+Inputs!$C$8</f>
        <v/>
      </c>
    </row>
    <row r="114">
      <c r="A114" s="5" t="inlineStr">
        <is>
          <t>DCF value per share ($)</t>
        </is>
      </c>
      <c r="C114" s="12">
        <f>MAX(0,$C$113*1000/Inputs!$C$5)</f>
        <v/>
      </c>
    </row>
    <row r="115">
      <c r="A115" s="5" t="inlineStr">
        <is>
          <t>Strategic floor per share ($)</t>
        </is>
      </c>
      <c r="C115" s="19" t="n">
        <v>0</v>
      </c>
    </row>
    <row r="116">
      <c r="A116" s="33" t="inlineStr">
        <is>
          <t>Value per share ($)</t>
        </is>
      </c>
      <c r="C116" s="35">
        <f>MAX($C$114,$C$115)</f>
        <v/>
      </c>
    </row>
    <row r="117">
      <c r="A117" s="5" t="inlineStr">
        <is>
          <t>Cross-check: value per share at perpetual growth ($)</t>
        </is>
      </c>
      <c r="C117" s="12">
        <f>MAX(0,($C$110+$C$109*K104+Inputs!$C$8)*1000/Inputs!$C$5)</f>
        <v/>
      </c>
    </row>
    <row r="118">
      <c r="A118" s="5" t="inlineStr">
        <is>
          <t>Perpetual growth implied by the exit multiple</t>
        </is>
      </c>
      <c r="C118" s="8">
        <f>($C$108*Inputs!$C$24-$C$107)/($C$108+$C$107)</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showGridLines="0" workbookViewId="0">
      <selection activeCell="A1" sqref="A1"/>
    </sheetView>
  </sheetViews>
  <sheetFormatPr baseColWidth="8" defaultRowHeight="15"/>
  <cols>
    <col width="34" customWidth="1" min="1" max="1"/>
    <col width="11" customWidth="1" min="2" max="2"/>
    <col width="11" customWidth="1" min="3" max="3"/>
    <col width="11" customWidth="1" min="4" max="4"/>
    <col width="11" customWidth="1" min="5" max="5"/>
    <col width="11" customWidth="1" min="6" max="6"/>
  </cols>
  <sheetData>
    <row r="1">
      <c r="A1" s="1" t="inlineStr">
        <is>
          <t>Reported results ($bn; deliveries in thousands)</t>
        </is>
      </c>
    </row>
    <row r="3">
      <c r="A3" s="3" t="inlineStr">
        <is>
          <t>Line item</t>
        </is>
      </c>
      <c r="B3" s="4" t="inlineStr">
        <is>
          <t>FY2024</t>
        </is>
      </c>
      <c r="C3" s="4" t="inlineStr">
        <is>
          <t>FY2025</t>
        </is>
      </c>
      <c r="D3" s="4" t="inlineStr">
        <is>
          <t>Q2 2025</t>
        </is>
      </c>
      <c r="E3" s="4" t="inlineStr">
        <is>
          <t>Q1 2026</t>
        </is>
      </c>
      <c r="F3" s="4" t="inlineStr">
        <is>
          <t>Q2 2026</t>
        </is>
      </c>
    </row>
    <row r="4">
      <c r="A4" s="5" t="inlineStr">
        <is>
          <t>Deliveries (thousands)</t>
        </is>
      </c>
      <c r="B4" s="28" t="n">
        <v>51.579</v>
      </c>
      <c r="C4" s="28" t="n">
        <v>42.247</v>
      </c>
      <c r="D4" s="28" t="n">
        <v>10.661</v>
      </c>
      <c r="E4" s="28" t="n">
        <v>10.365</v>
      </c>
      <c r="F4" s="28" t="n">
        <v>12.194</v>
      </c>
    </row>
    <row r="5">
      <c r="A5" s="5" t="inlineStr">
        <is>
          <t>Automotive revenue</t>
        </is>
      </c>
      <c r="B5" s="21" t="n">
        <v>4.486</v>
      </c>
      <c r="C5" s="21" t="n">
        <v>3.83</v>
      </c>
      <c r="D5" s="21" t="n">
        <v>0.927</v>
      </c>
      <c r="E5" s="21" t="n">
        <v>0.908</v>
      </c>
      <c r="F5" s="21" t="n">
        <v>1.143</v>
      </c>
    </row>
    <row r="6">
      <c r="A6" s="5" t="inlineStr">
        <is>
          <t>Software &amp; services revenue</t>
        </is>
      </c>
      <c r="B6" s="21" t="n">
        <v>0.484</v>
      </c>
      <c r="C6" s="21" t="n">
        <v>1.557</v>
      </c>
      <c r="D6" s="21" t="n">
        <v>0.376</v>
      </c>
      <c r="E6" s="21" t="n">
        <v>0.473</v>
      </c>
      <c r="F6" s="21" t="n">
        <v>0.515</v>
      </c>
    </row>
    <row r="7">
      <c r="A7" s="9" t="inlineStr">
        <is>
          <t>Total revenue</t>
        </is>
      </c>
      <c r="B7" s="22">
        <f>B5+B6</f>
        <v/>
      </c>
      <c r="C7" s="22">
        <f>C5+C6</f>
        <v/>
      </c>
      <c r="D7" s="22">
        <f>D5+D6</f>
        <v/>
      </c>
      <c r="E7" s="22">
        <f>E5+E6</f>
        <v/>
      </c>
      <c r="F7" s="22">
        <f>F5+F6</f>
        <v/>
      </c>
    </row>
    <row r="8">
      <c r="A8" s="9" t="inlineStr">
        <is>
          <t>Gross profit</t>
        </is>
      </c>
      <c r="B8" s="21" t="n">
        <v>-1.2</v>
      </c>
      <c r="C8" s="21" t="n">
        <v>0.144</v>
      </c>
      <c r="D8" s="21" t="n">
        <v>-0.206</v>
      </c>
      <c r="E8" s="21" t="n">
        <v>0.119</v>
      </c>
      <c r="F8" s="21" t="n">
        <v>0.179</v>
      </c>
    </row>
    <row r="9">
      <c r="A9" s="5" t="inlineStr">
        <is>
          <t>Gross margin</t>
        </is>
      </c>
      <c r="B9" s="8">
        <f>IF(B7=0,0,B8/B7)</f>
        <v/>
      </c>
      <c r="C9" s="8">
        <f>IF(C7=0,0,C8/C7)</f>
        <v/>
      </c>
      <c r="D9" s="8">
        <f>IF(D7=0,0,D8/D7)</f>
        <v/>
      </c>
      <c r="E9" s="8">
        <f>IF(E7=0,0,E8/E7)</f>
        <v/>
      </c>
      <c r="F9" s="8">
        <f>IF(F7=0,0,F8/F7)</f>
        <v/>
      </c>
    </row>
    <row r="10">
      <c r="A10" s="5" t="inlineStr">
        <is>
          <t>R&amp;D</t>
        </is>
      </c>
      <c r="B10" s="21" t="n">
        <v>1.613</v>
      </c>
      <c r="C10" s="21" t="n">
        <v>1.668</v>
      </c>
      <c r="D10" s="21" t="n">
        <v>0.41</v>
      </c>
      <c r="E10" s="21" t="n">
        <v>0.458</v>
      </c>
      <c r="F10" s="21" t="n">
        <v>0.466</v>
      </c>
    </row>
    <row r="11">
      <c r="A11" s="5" t="inlineStr">
        <is>
          <t>SG&amp;A</t>
        </is>
      </c>
      <c r="B11" s="21" t="n">
        <v>1.876</v>
      </c>
      <c r="C11" s="21" t="n">
        <v>2.061</v>
      </c>
      <c r="D11" s="21" t="n">
        <v>0.498</v>
      </c>
      <c r="E11" s="21" t="n">
        <v>0.542</v>
      </c>
      <c r="F11" s="21" t="n">
        <v>0.549</v>
      </c>
    </row>
    <row r="12">
      <c r="A12" s="5" t="inlineStr">
        <is>
          <t>Loss from operations</t>
        </is>
      </c>
      <c r="B12" s="21" t="n">
        <v>-4.689</v>
      </c>
      <c r="C12" s="21" t="n">
        <v>-3.585</v>
      </c>
      <c r="D12" s="21" t="n">
        <v>-1.114</v>
      </c>
      <c r="E12" s="21" t="n">
        <v>-0.881</v>
      </c>
      <c r="F12" s="21" t="n">
        <v>-0.836</v>
      </c>
    </row>
    <row r="13">
      <c r="A13" s="5" t="inlineStr">
        <is>
          <t>Capital expenditures</t>
        </is>
      </c>
      <c r="B13" s="21" t="n">
        <v>1.141</v>
      </c>
      <c r="C13" s="21" t="n">
        <v>1.71</v>
      </c>
      <c r="D13" s="21" t="n">
        <v>0.462</v>
      </c>
      <c r="E13" s="21" t="n">
        <v>0.372</v>
      </c>
      <c r="F13" s="21" t="n">
        <v>0.362</v>
      </c>
    </row>
    <row r="14">
      <c r="A14" s="5" t="inlineStr">
        <is>
          <t>Free cash flow</t>
        </is>
      </c>
      <c r="B14" s="36" t="inlineStr">
        <is>
          <t>n/a</t>
        </is>
      </c>
      <c r="C14" s="36" t="inlineStr">
        <is>
          <t>n/a</t>
        </is>
      </c>
      <c r="D14" s="21" t="n">
        <v>-0.398</v>
      </c>
      <c r="E14" s="21" t="n">
        <v>-1.075</v>
      </c>
      <c r="F14" s="21" t="n">
        <v>-0.849</v>
      </c>
    </row>
    <row r="15">
      <c r="A15" s="5" t="inlineStr">
        <is>
          <t>Depreciation &amp; amortization</t>
        </is>
      </c>
      <c r="B15" s="21" t="n">
        <v>1.031</v>
      </c>
      <c r="C15" s="21" t="n">
        <v>0.784</v>
      </c>
      <c r="D15" s="21" t="n">
        <v>0.254</v>
      </c>
      <c r="E15" s="21" t="n">
        <v>0.202</v>
      </c>
      <c r="F15" s="21" t="n">
        <v>0.227</v>
      </c>
    </row>
    <row r="16">
      <c r="A16" s="5" t="inlineStr">
        <is>
          <t>Stock-based compensation</t>
        </is>
      </c>
      <c r="B16" s="21" t="n">
        <v>0.6919999999999999</v>
      </c>
      <c r="C16" s="21" t="n">
        <v>0.741</v>
      </c>
      <c r="D16" s="21" t="n">
        <v>0.195</v>
      </c>
      <c r="E16" s="21" t="n">
        <v>0.207</v>
      </c>
      <c r="F16" s="21" t="n">
        <v>0.226</v>
      </c>
    </row>
    <row r="19">
      <c r="A19" s="9" t="inlineStr">
        <is>
          <t>Sources</t>
        </is>
      </c>
    </row>
    <row r="20">
      <c r="A20" s="2" t="inlineStr">
        <is>
          <t>FY2024 and FY2025: Q4/FY2025 earnings release, 8-K Ex. 99.1, filed 2026-02-12, https://www.sec.gov/Archives/edgar/data/1874178/000187417826000007/ex-991pressrelease4q25earn.htm</t>
        </is>
      </c>
    </row>
    <row r="21">
      <c r="A21" s="2" t="inlineStr">
        <is>
          <t>Q1 2026: Q1 2026 earnings release, 8-K Ex. 99.1, filed 2026-04-30, https://www.sec.gov/Archives/edgar/data/1874178/000187417826000033/ex-9911q26rivianearningspr.htm</t>
        </is>
      </c>
    </row>
    <row r="22">
      <c r="A22" s="2" t="inlineStr">
        <is>
          <t>Q2 2026 and Q2 2025: Q2 2026 earnings release, 8-K Ex. 99.1, 2026-07-30, https://www.sec.gov/Archives/edgar/data/1874178/000187417826000053/ex-9912q26rivianearningspr.htm</t>
        </is>
      </c>
    </row>
    <row r="23">
      <c r="A23" s="2" t="inlineStr">
        <is>
          <t>FY free cash flow is not printed in the FY2025 release; quarterly figures are. Q1 2026 loss from operations as printed in the Q1 release.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2026-10-16T19:45:07Z</dcterms:created>
  <dcterms:modified xmlns:dcterms="http://purl.org/dc/terms/" xmlns:xsi="http://www.w3.org/2001/XMLSchema-instance" xsi:type="dcterms:W3CDTF">2026-10-16T19:45:07Z</dcterms:modified>
</cp:coreProperties>
</file>