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luation" sheetId="1" state="visible" r:id="rId1"/>
    <sheet xmlns:r="http://schemas.openxmlformats.org/officeDocument/2006/relationships" name="Conviction" sheetId="2" state="visible" r:id="rId2"/>
    <sheet xmlns:r="http://schemas.openxmlformats.org/officeDocument/2006/relationships" name="Inputs" sheetId="3" state="visible" r:id="rId3"/>
    <sheet xmlns:r="http://schemas.openxmlformats.org/officeDocument/2006/relationships" name="Scenarios" sheetId="4" state="visible" r:id="rId4"/>
    <sheet xmlns:r="http://schemas.openxmlformats.org/officeDocument/2006/relationships" name="Model" sheetId="5" state="visible" r:id="rId5"/>
    <sheet xmlns:r="http://schemas.openxmlformats.org/officeDocument/2006/relationships" name="Beta" sheetId="6" state="visible" r:id="rId6"/>
    <sheet xmlns:r="http://schemas.openxmlformats.org/officeDocument/2006/relationships" name="History" sheetId="7" state="visible" r:id="rId7"/>
  </sheets>
  <definedNames/>
  <calcPr calcId="124519" fullCalcOnLoad="1"/>
</workbook>
</file>

<file path=xl/styles.xml><?xml version="1.0" encoding="utf-8"?>
<styleSheet xmlns="http://schemas.openxmlformats.org/spreadsheetml/2006/main">
  <numFmts count="8">
    <numFmt numFmtId="164" formatCode="$#,##0.00"/>
    <numFmt numFmtId="165" formatCode="#,##0.0"/>
    <numFmt numFmtId="166" formatCode="$#,##0.00;($#,##0.00);&quot;-&quot;"/>
    <numFmt numFmtId="167" formatCode="#,##0.0;(#,##0.0);&quot;-&quot;"/>
    <numFmt numFmtId="168" formatCode="0.0%;(0.0%);&quot;-&quot;"/>
    <numFmt numFmtId="169" formatCode="0.0&quot;x&quot;"/>
    <numFmt numFmtId="170" formatCode="0.00&quot;x&quot;"/>
    <numFmt numFmtId="171" formatCode="0.000"/>
  </numFmts>
  <fonts count="8">
    <font>
      <name val="Calibri"/>
      <family val="2"/>
      <color theme="1"/>
      <sz val="11"/>
      <scheme val="minor"/>
    </font>
    <font>
      <name val="Arial"/>
      <b val="1"/>
      <sz val="16"/>
    </font>
    <font>
      <name val="Arial"/>
      <i val="1"/>
      <color rgb="00555555"/>
      <sz val="10"/>
    </font>
    <font>
      <name val="Arial"/>
      <b val="1"/>
      <sz val="10"/>
    </font>
    <font>
      <name val="Arial"/>
      <color rgb="00000000"/>
      <sz val="10"/>
    </font>
    <font>
      <name val="Arial"/>
      <color rgb="000000FF"/>
      <sz val="10"/>
    </font>
    <font>
      <name val="Arial"/>
      <b val="1"/>
      <color rgb="00FFFFFF"/>
      <sz val="10"/>
    </font>
    <font>
      <name val="Arial"/>
      <color rgb="00008000"/>
      <sz val="10"/>
    </font>
  </fonts>
  <fills count="5">
    <fill>
      <patternFill/>
    </fill>
    <fill>
      <patternFill patternType="gray125"/>
    </fill>
    <fill>
      <patternFill patternType="solid">
        <fgColor rgb="00F2F2F2"/>
      </patternFill>
    </fill>
    <fill>
      <patternFill patternType="solid">
        <fgColor rgb="00FFFF00"/>
      </patternFill>
    </fill>
    <fill>
      <patternFill patternType="solid">
        <fgColor rgb="000A0A0A"/>
      </patternFill>
    </fill>
  </fills>
  <borders count="2">
    <border>
      <left/>
      <right/>
      <top/>
      <bottom/>
      <diagonal/>
    </border>
    <border>
      <top style="thin">
        <color rgb="00BFBFBF"/>
      </top>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6" fillId="4" borderId="0" applyAlignment="1" pivotButton="0" quotePrefix="0" xfId="0">
      <alignment horizontal="left"/>
    </xf>
    <xf numFmtId="0" fontId="6" fillId="4" borderId="0" applyAlignment="1" pivotButton="0" quotePrefix="0" xfId="0">
      <alignment horizontal="center"/>
    </xf>
    <xf numFmtId="0" fontId="4" fillId="0" borderId="0" pivotButton="0" quotePrefix="0" xfId="0"/>
    <xf numFmtId="168" fontId="7" fillId="0" borderId="0" pivotButton="0" quotePrefix="0" xfId="0"/>
    <xf numFmtId="164" fontId="7" fillId="0" borderId="0" pivotButton="0" quotePrefix="0" xfId="0"/>
    <xf numFmtId="168" fontId="4" fillId="0" borderId="0" pivotButton="0" quotePrefix="0" xfId="0"/>
    <xf numFmtId="0" fontId="3" fillId="0" borderId="0" pivotButton="0" quotePrefix="0" xfId="0"/>
    <xf numFmtId="164" fontId="4" fillId="3" borderId="0" pivotButton="0" quotePrefix="0" xfId="0"/>
    <xf numFmtId="164" fontId="4" fillId="0" borderId="0" pivotButton="0" quotePrefix="0" xfId="0"/>
    <xf numFmtId="0" fontId="4" fillId="3" borderId="0" pivotButton="0" quotePrefix="0" xfId="0"/>
    <xf numFmtId="169" fontId="6" fillId="4" borderId="0" applyAlignment="1" pivotButton="0" quotePrefix="0" xfId="0">
      <alignment horizontal="center"/>
    </xf>
    <xf numFmtId="168" fontId="5" fillId="0" borderId="0" pivotButton="0" quotePrefix="0" xfId="0"/>
    <xf numFmtId="169" fontId="5" fillId="0" borderId="0" pivotButton="0" quotePrefix="0" xfId="0"/>
    <xf numFmtId="169" fontId="7" fillId="0" borderId="0" pivotButton="0" quotePrefix="0" xfId="0"/>
    <xf numFmtId="170" fontId="5" fillId="0" borderId="0" pivotButton="0" quotePrefix="0" xfId="0"/>
    <xf numFmtId="164" fontId="5" fillId="0" borderId="0" pivotButton="0" quotePrefix="0" xfId="0"/>
    <xf numFmtId="168" fontId="5" fillId="3" borderId="0" pivotButton="0" quotePrefix="0" xfId="0"/>
    <xf numFmtId="169" fontId="5" fillId="3" borderId="0" pivotButton="0" quotePrefix="0" xfId="0"/>
    <xf numFmtId="0" fontId="5" fillId="0" borderId="0" pivotButton="0" quotePrefix="0" xfId="0"/>
    <xf numFmtId="0" fontId="7" fillId="3" borderId="0" pivotButton="0" quotePrefix="0" xfId="0"/>
    <xf numFmtId="0" fontId="7" fillId="0" borderId="0" pivotButton="0" quotePrefix="0" xfId="0"/>
    <xf numFmtId="167" fontId="7" fillId="0" borderId="0" pivotButton="0" quotePrefix="0" xfId="0"/>
    <xf numFmtId="166" fontId="4" fillId="0" borderId="0" pivotButton="0" quotePrefix="0" xfId="0"/>
    <xf numFmtId="166" fontId="7" fillId="0" borderId="0" pivotButton="0" quotePrefix="0" xfId="0"/>
    <xf numFmtId="2" fontId="4" fillId="0" borderId="0" pivotButton="0" quotePrefix="0" xfId="0"/>
    <xf numFmtId="171" fontId="4" fillId="0" borderId="0" pivotButton="0" quotePrefix="0" xfId="0"/>
    <xf numFmtId="0" fontId="3" fillId="0" borderId="1" pivotButton="0" quotePrefix="0" xfId="0"/>
    <xf numFmtId="166" fontId="4" fillId="0" borderId="1" pivotButton="0" quotePrefix="0" xfId="0"/>
    <xf numFmtId="164" fontId="4" fillId="3" borderId="1" pivotButton="0" quotePrefix="0" xfId="0"/>
    <xf numFmtId="0" fontId="3" fillId="2" borderId="0" pivotButton="0" quotePrefix="0" xfId="0"/>
    <xf numFmtId="0" fontId="0" fillId="2" borderId="0" pivotButton="0" quotePrefix="0" xfId="0"/>
    <xf numFmtId="165" fontId="5" fillId="0" borderId="0" pivotButton="0" quotePrefix="0" xfId="0"/>
    <xf numFmtId="166" fontId="5" fillId="0" borderId="0" pivotButton="0" quotePrefix="0" xfId="0"/>
    <xf numFmtId="165" fontId="4" fillId="0" borderId="0" pivotButton="0" quotePrefix="0" xfId="0"/>
    <xf numFmtId="2" fontId="5" fillId="0" borderId="0" pivotButton="0" quotePrefix="0" xfId="0"/>
    <xf numFmtId="167" fontId="5" fillId="0" borderId="0" pivotButton="0" quotePrefix="0" xfId="0"/>
    <xf numFmtId="2" fontId="5" fillId="3" borderId="0" pivotButton="0" quotePrefix="0" xfId="0"/>
    <xf numFmtId="168" fontId="4" fillId="3" borderId="0" pivotButton="0" quotePrefix="0" xfId="0"/>
    <xf numFmtId="1" fontId="5" fillId="0" borderId="0" pivotButton="0" quotePrefix="0" xfId="0"/>
    <xf numFmtId="2" fontId="7" fillId="0" borderId="0" pivotButton="0" quotePrefix="0" xfId="0"/>
    <xf numFmtId="166"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Phat Ngo</author>
  </authors>
  <commentList>
    <comment ref="C4" authorId="0" shapeId="0">
      <text>
        <t>Override. The model uses the computed WACC on Inputs (13.1%).</t>
      </text>
    </comment>
    <comment ref="C5" authorId="0" shapeId="0">
      <text>
        <t>Override. The model uses 13x.</t>
      </text>
    </comment>
  </commentList>
</comments>
</file>

<file path=xl/comments/comment2.xml><?xml version="1.0" encoding="utf-8"?>
<comments xmlns="http://schemas.openxmlformats.org/spreadsheetml/2006/main">
  <authors>
    <author>Phat Ngo</author>
  </authors>
  <commentList>
    <comment ref="C4" authorId="0" shapeId="0">
      <text>
        <t>Last trade 15:39 ET on 2026-10-16 (Robinhood quote). Update to today's price.</t>
      </text>
    </comment>
    <comment ref="C5" authorId="0" shapeId="0">
      <text>
        <t>Robinhood, 2026-10-16: 13,571.07mm. Cross-check: 10-Q cover 7,696.3mm Class A + 5,485.5mm Class B at 2026-07-28, plus 391.0mm Cursor merger shares (8-K 2026-08-14). Includes Musk's 1,302.07mm unvested restricted Class B.</t>
      </text>
    </comment>
    <comment ref="C6" authorId="0" shapeId="0">
      <text>
        <t>10-Q Note 12 reserve table, 2026-06-30: 120mm Class A + 352mm Class B (350mm of the B options are Musk's).</t>
      </text>
    </comment>
    <comment ref="C7" authorId="0" shapeId="0">
      <text>
        <t>Author derivation: weighted-average strikes at 2026-03-31 (424B4): $27.65 (A, 133.8mm) and $8.22 (B, 358.2mm).</t>
      </text>
    </comment>
    <comment ref="C8" authorId="0" shapeId="0">
      <text>
        <t>10-Q Note 12, 2026-06-30.</t>
      </text>
    </comment>
    <comment ref="C9" authorId="0" shapeId="0">
      <text>
        <t>8-K 2026-08-14: 29.13mm RSUs + 44.37mm options (strikes not disclosed, counted in full).</t>
      </text>
    </comment>
    <comment ref="C10" authorId="0" shapeId="0">
      <text>
        <t>10-Q MD&amp;A and EchoStar 10-Q: up to $11.1167bn in Class A at a fixed $42.40 (about 261.8mm shares), Spectrum Acquisition Closing targeted 2027-11-30. Up to $8.5bn cash at closing is in 2027 spectrum outflows.</t>
      </text>
    </comment>
    <comment ref="C11" authorId="0" shapeId="0">
      <text>
        <t>424B4: 1,000mm vest only with a Mars colony of 1mm people; 302.07mm only with 100 TW/yr of non-Earth data centers (plus market-cap tranches).</t>
      </text>
    </comment>
    <comment ref="C14" authorId="0" shapeId="0">
      <text>
        <t>10-Q balance sheet 2026-06-30: cash $93.522bn + marketable securities $6.487bn.</t>
      </text>
    </comment>
    <comment ref="C15" authorId="0" shapeId="0">
      <text>
        <t>10-Q Note 7: 18,712 bitcoin at fair value, 2026-06-30.</t>
      </text>
    </comment>
    <comment ref="C16" authorId="0" shapeId="0">
      <text>
        <t>10-Q Note 9: principal $38.433bn (incl. $13.329bn Valor related-party failed sale-leasebacks) + finance leases $1.079bn.</t>
      </text>
    </comment>
    <comment ref="C20" authorId="0" shapeId="0">
      <text>
        <t>Estimate: consensus FY2026 FCF about -$50.8bn (S&amp;P Global via stockanalysis.com, 2026-10-16) less H1 2026 reported -$25.0bn (OCF $3.466bn - capex $28.476bn).</t>
      </text>
    </comment>
    <comment ref="C21" authorId="0" shapeId="0">
      <text>
        <t>2026-10-16</t>
      </text>
    </comment>
    <comment ref="C22" authorId="0" shapeId="0">
      <text>
        <t>Author estimate: 12.0mm at 2026-06-30 (10-Q) plus about 1.9mm a quarter.</t>
      </text>
    </comment>
    <comment ref="C23" authorId="0" shapeId="0">
      <text>
        <t>Guidance: "over 2 gigawatts" by year-end (Musk, Q2 2026 call). 1.4 GW at 2026-06-30 (Q2 release).</t>
      </text>
    </comment>
    <comment ref="C25" authorId="0" shapeId="0">
      <text>
        <t>Q2 2026: consumer revenue $2,485mm vs about $2,208mm of service revenue (11.15mm average subs x $66 x 3), about 12.5%.</t>
      </text>
    </comment>
    <comment ref="C26" authorId="0" shapeId="0">
      <text>
        <t>Q2 2026 segment D&amp;A: (805 + 158) / (4,291 + 962) = 18.3% (Q2 release).</t>
      </text>
    </comment>
    <comment ref="C27" authorId="0" shapeId="0">
      <text>
        <t>Author assumption for servers and data-center fit-out.</t>
      </text>
    </comment>
    <comment ref="C28" authorId="0" shapeId="0">
      <text>
        <t>Author proxy: accumulated deficit $41.852bn at 2026-06-30 (10-Q). The NOL itself is not disclosed.</t>
      </text>
    </comment>
    <comment ref="C29" authorId="0" shapeId="0">
      <text>
        <t>Author assumption: 21% federal less R&amp;D credits and foreign mix.</t>
      </text>
    </comment>
    <comment ref="C31" authorId="0" shapeId="0">
      <text>
        <t>US 10-year Treasury, about 5.2% in mid-October 2026 (same input as the Rivian report).</t>
      </text>
    </comment>
    <comment ref="C32" authorId="0" shapeId="0">
      <text>
        <t>SPCX has only 88 sessions since its 2026-06-12 listing (1.6 vs QQQ, 3.2 vs SPY: unusable). Peer blend on the Beta sheet, two-year betas vs IVV from the site price feed: AI 1.90, Connectivity 1.20, Space 2.00, weighted 55/40/5 = 1.625.</t>
      </text>
    </comment>
    <comment ref="C33" authorId="0" shapeId="0">
      <text>
        <t>Author assumption, in line with implied ERP estimates of 4.5-5.5% (same as Rivian).</t>
      </text>
    </comment>
    <comment ref="C35" authorId="0" shapeId="0">
      <text>
        <t>SpaceX senior notes weighted-average coupon 5.855%, effective 6.03% (10-Q Note 9). No tax shield (NOLs, full valuation allowance).</t>
      </text>
    </comment>
    <comment ref="C40" authorId="0" shapeId="0">
      <text>
        <t>Author judgment: between telecom/satellite (T-Mobile ~7x, Viasat ~8.5x, Iridium ~12.7x adj. EBITDA) and AI infrastructure (Oracle ~14x, CoreWeave ~17x LTM, at higher growth). Tested 9-17x on the Valuation sheet.</t>
      </text>
    </comment>
    <comment ref="C42" authorId="0" shapeId="0">
      <text>
        <t>US federal statutory rate.</t>
      </text>
    </comment>
    <comment ref="C43" authorId="0" shapeId="0">
      <text>
        <t>Above 1.0x because satellites and GPUs must be replaced at rising volumes.</t>
      </text>
    </comment>
    <comment ref="C44" authorId="0" shapeId="0">
      <text>
        <t>Zero: prepaid subscriptions and deferred revenue offset receivables.</t>
      </text>
    </comment>
    <comment ref="C46" authorId="0" shapeId="0">
      <text>
        <t>Author judgment.</t>
      </text>
    </comment>
    <comment ref="C47" authorId="0" shapeId="0">
      <text>
        <t>Author judgment.</t>
      </text>
    </comment>
    <comment ref="C48" authorId="0" shapeId="0">
      <text>
        <t>Author judgment.</t>
      </text>
    </comment>
    <comment ref="C49" authorId="0" shapeId="0">
      <text>
        <t>Author judgment.</t>
      </text>
    </comment>
    <comment ref="C50" authorId="0" shapeId="0">
      <text>
        <t>report-kit longRating default: Bullish when the expected annual return beats the cost of equity by 2 points or more.</t>
      </text>
    </comment>
    <comment ref="C51" authorId="0" shapeId="0">
      <text>
        <t>longRating uses the longest horizon of the 3-5 year range (the conservative reading).</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F50"/>
  <sheetViews>
    <sheetView showGridLines="0" workbookViewId="0">
      <selection activeCell="A1" sqref="A1"/>
    </sheetView>
  </sheetViews>
  <sheetFormatPr baseColWidth="8" defaultRowHeight="15"/>
  <cols>
    <col width="74" customWidth="1" min="1" max="1"/>
    <col width="15" customWidth="1" min="2" max="2"/>
    <col width="15" customWidth="1" min="3" max="3"/>
    <col width="15" customWidth="1" min="4" max="4"/>
    <col width="15" customWidth="1" min="5" max="5"/>
    <col width="15" customWidth="1" min="6" max="6"/>
  </cols>
  <sheetData>
    <row r="1">
      <c r="A1" s="1" t="inlineStr">
        <is>
          <t>SpaceX (SPCX) — valuation summary</t>
        </is>
      </c>
    </row>
    <row r="2">
      <c r="A2" s="2" t="inlineStr">
        <is>
          <t>Phat Ngo · Initiation · prices as of 2026-10-16 · personal research, not investment advice</t>
        </is>
      </c>
    </row>
    <row r="4">
      <c r="A4" s="3" t="inlineStr">
        <is>
          <t>Scenario</t>
        </is>
      </c>
      <c r="B4" s="4" t="inlineStr">
        <is>
          <t>Probability</t>
        </is>
      </c>
      <c r="C4" s="4" t="inlineStr">
        <is>
          <t>Value / share</t>
        </is>
      </c>
      <c r="D4" s="4" t="inlineStr">
        <is>
          <t>Excl. Musk unvested</t>
        </is>
      </c>
      <c r="E4" s="4" t="inlineStr">
        <is>
          <t>vs price</t>
        </is>
      </c>
    </row>
    <row r="5">
      <c r="A5" s="5" t="inlineStr">
        <is>
          <t>Bear</t>
        </is>
      </c>
      <c r="B5" s="6">
        <f>Inputs!$C$46</f>
        <v/>
      </c>
      <c r="C5" s="7">
        <f>Model!$C$62</f>
        <v/>
      </c>
      <c r="D5" s="7">
        <f>Model!$C$65</f>
        <v/>
      </c>
      <c r="E5" s="8">
        <f>C5/Inputs!$C$4-1</f>
        <v/>
      </c>
    </row>
    <row r="6">
      <c r="A6" s="5" t="inlineStr">
        <is>
          <t>Base</t>
        </is>
      </c>
      <c r="B6" s="6">
        <f>Inputs!$C$47</f>
        <v/>
      </c>
      <c r="C6" s="7">
        <f>Model!$C$126</f>
        <v/>
      </c>
      <c r="D6" s="7">
        <f>Model!$C$129</f>
        <v/>
      </c>
      <c r="E6" s="8">
        <f>C6/Inputs!$C$4-1</f>
        <v/>
      </c>
    </row>
    <row r="7">
      <c r="A7" s="5" t="inlineStr">
        <is>
          <t>Bull</t>
        </is>
      </c>
      <c r="B7" s="6">
        <f>Inputs!$C$48</f>
        <v/>
      </c>
      <c r="C7" s="7">
        <f>Model!$C$190</f>
        <v/>
      </c>
      <c r="D7" s="7">
        <f>Model!$C$193</f>
        <v/>
      </c>
      <c r="E7" s="8">
        <f>C7/Inputs!$C$4-1</f>
        <v/>
      </c>
    </row>
    <row r="8">
      <c r="A8" s="5" t="inlineStr">
        <is>
          <t>Right tail</t>
        </is>
      </c>
      <c r="B8" s="6">
        <f>Inputs!$C$49</f>
        <v/>
      </c>
      <c r="C8" s="7">
        <f>Model!$C$254</f>
        <v/>
      </c>
      <c r="D8" s="7">
        <f>Model!$C$257</f>
        <v/>
      </c>
      <c r="E8" s="8">
        <f>C8/Inputs!$C$4-1</f>
        <v/>
      </c>
    </row>
    <row r="10">
      <c r="A10" s="9" t="inlineStr">
        <is>
          <t>Probability-weighted fair value ($, primary share count)</t>
        </is>
      </c>
      <c r="C10" s="10">
        <f>SUMPRODUCT(B5:B8,C5:C8)</f>
        <v/>
      </c>
    </row>
    <row r="11">
      <c r="A11" s="5" t="inlineStr">
        <is>
          <t>Probability-weighted fair value excl. Musk unvested ($)</t>
        </is>
      </c>
      <c r="C11" s="11">
        <f>SUMPRODUCT(B5:B8,D5:D8)</f>
        <v/>
      </c>
    </row>
    <row r="12">
      <c r="A12" s="5" t="inlineStr">
        <is>
          <t>Current price ($)</t>
        </is>
      </c>
      <c r="C12" s="7">
        <f>Inputs!$C$4</f>
        <v/>
      </c>
    </row>
    <row r="13">
      <c r="A13" s="5" t="inlineStr">
        <is>
          <t>Total return to fair value</t>
        </is>
      </c>
      <c r="C13" s="8">
        <f>C10/C12-1</f>
        <v/>
      </c>
    </row>
    <row r="14">
      <c r="A14" s="5" t="inlineStr">
        <is>
          <t>Hurdle: cost of equity</t>
        </is>
      </c>
      <c r="C14" s="6">
        <f>Inputs!$C$34</f>
        <v/>
      </c>
    </row>
    <row r="15">
      <c r="A15" s="5" t="inlineStr">
        <is>
          <t>Expected annual return over 5 years (fair value reached, then compounding at ke)</t>
        </is>
      </c>
      <c r="C15" s="8">
        <f>((C10/C12)^(1/Inputs!$C$51)*(1+C14)-1)</f>
        <v/>
      </c>
    </row>
    <row r="16">
      <c r="A16" s="9" t="inlineStr">
        <is>
          <t>Call (longRating, 3-5 year view, longest horizon)</t>
        </is>
      </c>
      <c r="C16" s="12">
        <f>IF(((C10/C12)^(1/Inputs!$C$51)*(1+C14)-1-C14)&gt;=Inputs!$C$50,"Bullish",IF(((C10/C12)^(1/Inputs!$C$51)*(1+C14)-1-C14)&lt;=-Inputs!$C$50,"Bearish","Neutral"))</f>
        <v/>
      </c>
    </row>
    <row r="17">
      <c r="A17" s="5" t="inlineStr">
        <is>
          <t>Price below which the rule reads Bullish ($)</t>
        </is>
      </c>
      <c r="C17" s="11">
        <f>C10/((1+C14+Inputs!$C$50)/(1+C14))^Inputs!$C$51</f>
        <v/>
      </c>
    </row>
    <row r="18">
      <c r="A18" s="5" t="inlineStr">
        <is>
          <t>Price above which the rule reads Bearish ($)</t>
        </is>
      </c>
      <c r="C18" s="11">
        <f>C10/((1+C14-Inputs!$C$50)/(1+C14))^Inputs!$C$51</f>
        <v/>
      </c>
    </row>
    <row r="19">
      <c r="A19" s="5" t="inlineStr">
        <is>
          <t>Fair value needed for Bullish at the current price ($)</t>
        </is>
      </c>
      <c r="C19" s="11">
        <f>(C12*((1+C14+Inputs!$C$50)/(1+C14))^Inputs!$C$51)</f>
        <v/>
      </c>
    </row>
    <row r="20">
      <c r="A20" s="5" t="inlineStr">
        <is>
          <t>Weight on bull + right tail needed for Bullish (capped at 100%)</t>
        </is>
      </c>
      <c r="C20" s="8">
        <f>MIN(1,MAX(0,((C12*((1+C14+Inputs!$C$50)/(1+C14))^Inputs!$C$51)-((Inputs!$C$46*C5+Inputs!$C$47*C6)/(Inputs!$C$46+Inputs!$C$47)))/(((Inputs!$C$48*C7+Inputs!$C$49*C8)/(Inputs!$C$48+Inputs!$C$49))-((Inputs!$C$46*C5+Inputs!$C$47*C6)/(Inputs!$C$46+Inputs!$C$47)))))</f>
        <v/>
      </c>
    </row>
    <row r="21">
      <c r="A21" s="5" t="inlineStr">
        <is>
          <t>Weights sum check (must be 100%)</t>
        </is>
      </c>
      <c r="C21" s="8">
        <f>SUM(B5:B8)</f>
        <v/>
      </c>
    </row>
    <row r="24">
      <c r="A24" s="9" t="inlineStr">
        <is>
          <t>Base case: value per share by WACC (rows) and 2035 EV/EBITDA exit multiple (columns)</t>
        </is>
      </c>
    </row>
    <row r="25">
      <c r="A25" s="3" t="inlineStr">
        <is>
          <t>WACC \ exit multiple</t>
        </is>
      </c>
      <c r="B25" s="13" t="n">
        <v>9</v>
      </c>
      <c r="C25" s="13" t="n">
        <v>11</v>
      </c>
      <c r="D25" s="13" t="n">
        <v>13</v>
      </c>
      <c r="E25" s="13" t="n">
        <v>15</v>
      </c>
      <c r="F25" s="13" t="n">
        <v>17</v>
      </c>
    </row>
    <row r="26">
      <c r="A26" s="14" t="n">
        <v>0.11</v>
      </c>
      <c r="B26" s="11">
        <f>MAX(0,(SUMPRODUCT(Model!$C$112:$K$112,(1+$A26)^(-Model!$C$113:$K$113))+Inputs!$C$20+Model!$K$96*B$25*(1+$A26)^(-(Model!$K$113+0.5))+Inputs!$C$17)*1000/Inputs!$C$12)</f>
        <v/>
      </c>
      <c r="C26" s="11">
        <f>MAX(0,(SUMPRODUCT(Model!$C$112:$K$112,(1+$A26)^(-Model!$C$113:$K$113))+Inputs!$C$20+Model!$K$96*C$25*(1+$A26)^(-(Model!$K$113+0.5))+Inputs!$C$17)*1000/Inputs!$C$12)</f>
        <v/>
      </c>
      <c r="D26" s="11">
        <f>MAX(0,(SUMPRODUCT(Model!$C$112:$K$112,(1+$A26)^(-Model!$C$113:$K$113))+Inputs!$C$20+Model!$K$96*D$25*(1+$A26)^(-(Model!$K$113+0.5))+Inputs!$C$17)*1000/Inputs!$C$12)</f>
        <v/>
      </c>
      <c r="E26" s="11">
        <f>MAX(0,(SUMPRODUCT(Model!$C$112:$K$112,(1+$A26)^(-Model!$C$113:$K$113))+Inputs!$C$20+Model!$K$96*E$25*(1+$A26)^(-(Model!$K$113+0.5))+Inputs!$C$17)*1000/Inputs!$C$12)</f>
        <v/>
      </c>
      <c r="F26" s="11">
        <f>MAX(0,(SUMPRODUCT(Model!$C$112:$K$112,(1+$A26)^(-Model!$C$113:$K$113))+Inputs!$C$20+Model!$K$96*F$25*(1+$A26)^(-(Model!$K$113+0.5))+Inputs!$C$17)*1000/Inputs!$C$12)</f>
        <v/>
      </c>
    </row>
    <row r="27">
      <c r="A27" s="14" t="n">
        <v>0.12</v>
      </c>
      <c r="B27" s="11">
        <f>MAX(0,(SUMPRODUCT(Model!$C$112:$K$112,(1+$A27)^(-Model!$C$113:$K$113))+Inputs!$C$20+Model!$K$96*B$25*(1+$A27)^(-(Model!$K$113+0.5))+Inputs!$C$17)*1000/Inputs!$C$12)</f>
        <v/>
      </c>
      <c r="C27" s="11">
        <f>MAX(0,(SUMPRODUCT(Model!$C$112:$K$112,(1+$A27)^(-Model!$C$113:$K$113))+Inputs!$C$20+Model!$K$96*C$25*(1+$A27)^(-(Model!$K$113+0.5))+Inputs!$C$17)*1000/Inputs!$C$12)</f>
        <v/>
      </c>
      <c r="D27" s="11">
        <f>MAX(0,(SUMPRODUCT(Model!$C$112:$K$112,(1+$A27)^(-Model!$C$113:$K$113))+Inputs!$C$20+Model!$K$96*D$25*(1+$A27)^(-(Model!$K$113+0.5))+Inputs!$C$17)*1000/Inputs!$C$12)</f>
        <v/>
      </c>
      <c r="E27" s="11">
        <f>MAX(0,(SUMPRODUCT(Model!$C$112:$K$112,(1+$A27)^(-Model!$C$113:$K$113))+Inputs!$C$20+Model!$K$96*E$25*(1+$A27)^(-(Model!$K$113+0.5))+Inputs!$C$17)*1000/Inputs!$C$12)</f>
        <v/>
      </c>
      <c r="F27" s="11">
        <f>MAX(0,(SUMPRODUCT(Model!$C$112:$K$112,(1+$A27)^(-Model!$C$113:$K$113))+Inputs!$C$20+Model!$K$96*F$25*(1+$A27)^(-(Model!$K$113+0.5))+Inputs!$C$17)*1000/Inputs!$C$12)</f>
        <v/>
      </c>
    </row>
    <row r="28">
      <c r="A28" s="14" t="n">
        <v>0.13</v>
      </c>
      <c r="B28" s="11">
        <f>MAX(0,(SUMPRODUCT(Model!$C$112:$K$112,(1+$A28)^(-Model!$C$113:$K$113))+Inputs!$C$20+Model!$K$96*B$25*(1+$A28)^(-(Model!$K$113+0.5))+Inputs!$C$17)*1000/Inputs!$C$12)</f>
        <v/>
      </c>
      <c r="C28" s="11">
        <f>MAX(0,(SUMPRODUCT(Model!$C$112:$K$112,(1+$A28)^(-Model!$C$113:$K$113))+Inputs!$C$20+Model!$K$96*C$25*(1+$A28)^(-(Model!$K$113+0.5))+Inputs!$C$17)*1000/Inputs!$C$12)</f>
        <v/>
      </c>
      <c r="D28" s="11">
        <f>MAX(0,(SUMPRODUCT(Model!$C$112:$K$112,(1+$A28)^(-Model!$C$113:$K$113))+Inputs!$C$20+Model!$K$96*D$25*(1+$A28)^(-(Model!$K$113+0.5))+Inputs!$C$17)*1000/Inputs!$C$12)</f>
        <v/>
      </c>
      <c r="E28" s="11">
        <f>MAX(0,(SUMPRODUCT(Model!$C$112:$K$112,(1+$A28)^(-Model!$C$113:$K$113))+Inputs!$C$20+Model!$K$96*E$25*(1+$A28)^(-(Model!$K$113+0.5))+Inputs!$C$17)*1000/Inputs!$C$12)</f>
        <v/>
      </c>
      <c r="F28" s="11">
        <f>MAX(0,(SUMPRODUCT(Model!$C$112:$K$112,(1+$A28)^(-Model!$C$113:$K$113))+Inputs!$C$20+Model!$K$96*F$25*(1+$A28)^(-(Model!$K$113+0.5))+Inputs!$C$17)*1000/Inputs!$C$12)</f>
        <v/>
      </c>
    </row>
    <row r="29">
      <c r="A29" s="14" t="n">
        <v>0.131</v>
      </c>
      <c r="B29" s="11">
        <f>MAX(0,(SUMPRODUCT(Model!$C$112:$K$112,(1+$A29)^(-Model!$C$113:$K$113))+Inputs!$C$20+Model!$K$96*B$25*(1+$A29)^(-(Model!$K$113+0.5))+Inputs!$C$17)*1000/Inputs!$C$12)</f>
        <v/>
      </c>
      <c r="C29" s="11">
        <f>MAX(0,(SUMPRODUCT(Model!$C$112:$K$112,(1+$A29)^(-Model!$C$113:$K$113))+Inputs!$C$20+Model!$K$96*C$25*(1+$A29)^(-(Model!$K$113+0.5))+Inputs!$C$17)*1000/Inputs!$C$12)</f>
        <v/>
      </c>
      <c r="D29" s="11">
        <f>MAX(0,(SUMPRODUCT(Model!$C$112:$K$112,(1+$A29)^(-Model!$C$113:$K$113))+Inputs!$C$20+Model!$K$96*D$25*(1+$A29)^(-(Model!$K$113+0.5))+Inputs!$C$17)*1000/Inputs!$C$12)</f>
        <v/>
      </c>
      <c r="E29" s="11">
        <f>MAX(0,(SUMPRODUCT(Model!$C$112:$K$112,(1+$A29)^(-Model!$C$113:$K$113))+Inputs!$C$20+Model!$K$96*E$25*(1+$A29)^(-(Model!$K$113+0.5))+Inputs!$C$17)*1000/Inputs!$C$12)</f>
        <v/>
      </c>
      <c r="F29" s="11">
        <f>MAX(0,(SUMPRODUCT(Model!$C$112:$K$112,(1+$A29)^(-Model!$C$113:$K$113))+Inputs!$C$20+Model!$K$96*F$25*(1+$A29)^(-(Model!$K$113+0.5))+Inputs!$C$17)*1000/Inputs!$C$12)</f>
        <v/>
      </c>
    </row>
    <row r="30">
      <c r="A30" s="14" t="n">
        <v>0.14</v>
      </c>
      <c r="B30" s="11">
        <f>MAX(0,(SUMPRODUCT(Model!$C$112:$K$112,(1+$A30)^(-Model!$C$113:$K$113))+Inputs!$C$20+Model!$K$96*B$25*(1+$A30)^(-(Model!$K$113+0.5))+Inputs!$C$17)*1000/Inputs!$C$12)</f>
        <v/>
      </c>
      <c r="C30" s="11">
        <f>MAX(0,(SUMPRODUCT(Model!$C$112:$K$112,(1+$A30)^(-Model!$C$113:$K$113))+Inputs!$C$20+Model!$K$96*C$25*(1+$A30)^(-(Model!$K$113+0.5))+Inputs!$C$17)*1000/Inputs!$C$12)</f>
        <v/>
      </c>
      <c r="D30" s="11">
        <f>MAX(0,(SUMPRODUCT(Model!$C$112:$K$112,(1+$A30)^(-Model!$C$113:$K$113))+Inputs!$C$20+Model!$K$96*D$25*(1+$A30)^(-(Model!$K$113+0.5))+Inputs!$C$17)*1000/Inputs!$C$12)</f>
        <v/>
      </c>
      <c r="E30" s="11">
        <f>MAX(0,(SUMPRODUCT(Model!$C$112:$K$112,(1+$A30)^(-Model!$C$113:$K$113))+Inputs!$C$20+Model!$K$96*E$25*(1+$A30)^(-(Model!$K$113+0.5))+Inputs!$C$17)*1000/Inputs!$C$12)</f>
        <v/>
      </c>
      <c r="F30" s="11">
        <f>MAX(0,(SUMPRODUCT(Model!$C$112:$K$112,(1+$A30)^(-Model!$C$113:$K$113))+Inputs!$C$20+Model!$K$96*F$25*(1+$A30)^(-(Model!$K$113+0.5))+Inputs!$C$17)*1000/Inputs!$C$12)</f>
        <v/>
      </c>
    </row>
    <row r="31">
      <c r="A31" s="14" t="n">
        <v>0.15</v>
      </c>
      <c r="B31" s="11">
        <f>MAX(0,(SUMPRODUCT(Model!$C$112:$K$112,(1+$A31)^(-Model!$C$113:$K$113))+Inputs!$C$20+Model!$K$96*B$25*(1+$A31)^(-(Model!$K$113+0.5))+Inputs!$C$17)*1000/Inputs!$C$12)</f>
        <v/>
      </c>
      <c r="C31" s="11">
        <f>MAX(0,(SUMPRODUCT(Model!$C$112:$K$112,(1+$A31)^(-Model!$C$113:$K$113))+Inputs!$C$20+Model!$K$96*C$25*(1+$A31)^(-(Model!$K$113+0.5))+Inputs!$C$17)*1000/Inputs!$C$12)</f>
        <v/>
      </c>
      <c r="D31" s="11">
        <f>MAX(0,(SUMPRODUCT(Model!$C$112:$K$112,(1+$A31)^(-Model!$C$113:$K$113))+Inputs!$C$20+Model!$K$96*D$25*(1+$A31)^(-(Model!$K$113+0.5))+Inputs!$C$17)*1000/Inputs!$C$12)</f>
        <v/>
      </c>
      <c r="E31" s="11">
        <f>MAX(0,(SUMPRODUCT(Model!$C$112:$K$112,(1+$A31)^(-Model!$C$113:$K$113))+Inputs!$C$20+Model!$K$96*E$25*(1+$A31)^(-(Model!$K$113+0.5))+Inputs!$C$17)*1000/Inputs!$C$12)</f>
        <v/>
      </c>
      <c r="F31" s="11">
        <f>MAX(0,(SUMPRODUCT(Model!$C$112:$K$112,(1+$A31)^(-Model!$C$113:$K$113))+Inputs!$C$20+Model!$K$96*F$25*(1+$A31)^(-(Model!$K$113+0.5))+Inputs!$C$17)*1000/Inputs!$C$12)</f>
        <v/>
      </c>
    </row>
    <row r="33">
      <c r="A33" s="9" t="inlineStr">
        <is>
          <t>Comparables (dated 2026-10-16; context, not inputs)</t>
        </is>
      </c>
    </row>
    <row r="34">
      <c r="A34" s="3" t="inlineStr">
        <is>
          <t>Company</t>
        </is>
      </c>
      <c r="B34" s="4" t="inlineStr">
        <is>
          <t>EV / sales LTM</t>
        </is>
      </c>
      <c r="C34" s="4" t="inlineStr">
        <is>
          <t>EV / EBITDA LTM</t>
        </is>
      </c>
      <c r="D34" s="4" t="inlineStr">
        <is>
          <t>Basis / source</t>
        </is>
      </c>
    </row>
    <row r="35">
      <c r="A35" s="5" t="inlineStr">
        <is>
          <t>T-Mobile (TMUS)</t>
        </is>
      </c>
      <c r="B35" s="15" t="n">
        <v>2.8</v>
      </c>
      <c r="C35" s="15" t="n">
        <v>7.1</v>
      </c>
      <c r="D35" s="2" t="inlineStr">
        <is>
          <t>Core adj. EBITDA; 10-Q 6/30/26</t>
        </is>
      </c>
    </row>
    <row r="36">
      <c r="A36" s="5" t="inlineStr">
        <is>
          <t>Viasat (VSAT)</t>
        </is>
      </c>
      <c r="B36" s="15" t="n">
        <v>2.8</v>
      </c>
      <c r="C36" s="15" t="n">
        <v>8.5</v>
      </c>
      <c r="D36" s="2" t="inlineStr">
        <is>
          <t>Adj. EBITDA; FY ends March</t>
        </is>
      </c>
    </row>
    <row r="37">
      <c r="A37" s="5" t="inlineStr">
        <is>
          <t>Iridium (IRDM)</t>
        </is>
      </c>
      <c r="B37" s="15" t="n">
        <v>7</v>
      </c>
      <c r="C37" s="15" t="n">
        <v>12.7</v>
      </c>
      <c r="D37" s="2" t="inlineStr">
        <is>
          <t>OEBITDA; being acquired by Rocket Lab</t>
        </is>
      </c>
    </row>
    <row r="38">
      <c r="A38" s="5" t="inlineStr">
        <is>
          <t>Oracle (ORCL)</t>
        </is>
      </c>
      <c r="B38" s="15" t="n">
        <v>6.8</v>
      </c>
      <c r="C38" s="15" t="n">
        <v>14.3</v>
      </c>
      <c r="D38" s="2" t="inlineStr">
        <is>
          <t>GAAP EBIT + D&amp;A; FY ends May</t>
        </is>
      </c>
    </row>
    <row r="39">
      <c r="A39" s="5" t="inlineStr">
        <is>
          <t>CoreWeave (CRWV)</t>
        </is>
      </c>
      <c r="B39" s="15" t="n">
        <v>8.300000000000001</v>
      </c>
      <c r="C39" s="15" t="n">
        <v>16.8</v>
      </c>
      <c r="D39" s="2" t="inlineStr">
        <is>
          <t>GAAP EBIT + D&amp;A (company adj. higher)</t>
        </is>
      </c>
    </row>
    <row r="40">
      <c r="A40" s="5" t="inlineStr">
        <is>
          <t>Rocket Lab (RKLB)</t>
        </is>
      </c>
      <c r="B40" s="15" t="n">
        <v>36.3</v>
      </c>
      <c r="C40" s="2" t="inlineStr">
        <is>
          <t>n/m</t>
        </is>
      </c>
      <c r="D40" s="2" t="inlineStr">
        <is>
          <t>Adj. EBITDA negative</t>
        </is>
      </c>
    </row>
    <row r="41">
      <c r="A41" s="5" t="inlineStr">
        <is>
          <t>AST SpaceMobile (ASTS)</t>
        </is>
      </c>
      <c r="B41" s="15" t="n">
        <v>142</v>
      </c>
      <c r="C41" s="2" t="inlineStr">
        <is>
          <t>n/m</t>
        </is>
      </c>
      <c r="D41" s="2" t="inlineStr">
        <is>
          <t>Pre-revenue scale</t>
        </is>
      </c>
    </row>
    <row r="42">
      <c r="A42" s="9" t="inlineStr">
        <is>
          <t>SpaceX (SPCX), at the current price</t>
        </is>
      </c>
      <c r="B42" s="16">
        <f>Inputs!$C$19/23.044</f>
        <v/>
      </c>
      <c r="C42" s="16">
        <f>Inputs!$C$19/8.305</f>
        <v/>
      </c>
      <c r="D42" s="2" t="inlineStr">
        <is>
          <t>EV / LTM revenue $23.0bn and LTM adj. EBITDA $8.3bn</t>
        </is>
      </c>
    </row>
    <row r="44">
      <c r="A44" s="2" t="inlineStr">
        <is>
          <t>Peers: SEC 10-Q XBRL and company releases, prices 2026-10-16 (Robinhood). SPCX LTM through Q2 2026 (424B4, 10-Q). Iridium and Globalstar trade on takeover terms.</t>
        </is>
      </c>
    </row>
    <row r="46">
      <c r="A46" s="9" t="inlineStr">
        <is>
          <t>Reverse DCF on the base case (solved in public/spacex-model.mjs at the current price; static values)</t>
        </is>
      </c>
    </row>
    <row r="47">
      <c r="A47" s="5" t="inlineStr">
        <is>
          <t>Uniform scale on AI revenue per watt-year that makes the base case equal the price</t>
        </is>
      </c>
      <c r="C47" s="17" t="n">
        <v>3.261575208435195</v>
      </c>
    </row>
    <row r="48">
      <c r="A48" s="5" t="inlineStr">
        <is>
          <t>Implied 2027 revenue per watt-year ($; base case $34)</t>
        </is>
      </c>
      <c r="C48" s="18" t="n">
        <v>110.8935570867966</v>
      </c>
    </row>
    <row r="49">
      <c r="A49" s="5" t="inlineStr">
        <is>
          <t>Implied 2035 revenue per watt-year ($; base case $18)</t>
        </is>
      </c>
      <c r="C49" s="18" t="n">
        <v>58.70835375183351</v>
      </c>
    </row>
    <row r="50">
      <c r="A50" s="5" t="inlineStr">
        <is>
          <t>2035 exit multiple that makes the base case equal the price</t>
        </is>
      </c>
      <c r="C50" s="15" t="n">
        <v>48.12263199874207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83"/>
  <sheetViews>
    <sheetView showGridLines="0" workbookViewId="0">
      <selection activeCell="A1" sqref="A1"/>
    </sheetView>
  </sheetViews>
  <sheetFormatPr baseColWidth="8" defaultRowHeight="15"/>
  <cols>
    <col width="62" customWidth="1" min="1" max="1"/>
    <col width="2"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s>
  <sheetData>
    <row r="1">
      <c r="A1" s="1" t="inlineStr">
        <is>
          <t>Conviction case: the bull operating path at a bull's valuation assumptions</t>
        </is>
      </c>
    </row>
    <row r="2">
      <c r="A2" s="2" t="inlineStr">
        <is>
          <t>Published headline call: "Bullish · 3-5 year view" (conviction call). Same model and formulas as the Model sheet, with the two override cells below and the Bull drivers. Not part of the scenario weights.</t>
        </is>
      </c>
    </row>
    <row r="4">
      <c r="A4" s="5" t="inlineStr">
        <is>
          <t>Conviction discount rate (WACC and hurdle)</t>
        </is>
      </c>
      <c r="C4" s="19" t="n">
        <v>0.09</v>
      </c>
    </row>
    <row r="5">
      <c r="A5" s="5" t="inlineStr">
        <is>
          <t>Conviction exit multiple, 2035 EV/EBITDA</t>
        </is>
      </c>
      <c r="C5" s="20" t="n">
        <v>20</v>
      </c>
    </row>
    <row r="6">
      <c r="A6" s="5" t="inlineStr">
        <is>
          <t>Operating path</t>
        </is>
      </c>
      <c r="C6" s="21" t="inlineStr">
        <is>
          <t>Bull scenario drivers (Scenarios sheet)</t>
        </is>
      </c>
    </row>
    <row r="8">
      <c r="A8" s="9" t="inlineStr">
        <is>
          <t>Conviction case value per share ($)</t>
        </is>
      </c>
      <c r="C8" s="10">
        <f>$C$80</f>
        <v/>
      </c>
    </row>
    <row r="9">
      <c r="A9" s="5" t="inlineStr">
        <is>
          <t>Price ($)</t>
        </is>
      </c>
      <c r="C9" s="7">
        <f>Inputs!$C$4</f>
        <v/>
      </c>
    </row>
    <row r="10">
      <c r="A10" s="9" t="inlineStr">
        <is>
          <t>Conviction call (longRating at the conviction discount rate)</t>
        </is>
      </c>
      <c r="C10" s="22">
        <f>IF((($C$80/Inputs!$C$4)^(1/Inputs!$C$51)*(1+$C$4)-1-$C$4)&gt;=Inputs!$C$50,"Bullish",IF((($C$80/Inputs!$C$4)^(1/Inputs!$C$51)*(1+$C$4)-1-$C$4)&lt;=-Inputs!$C$50,"Bearish","Neutral"))</f>
        <v/>
      </c>
    </row>
    <row r="11">
      <c r="A11" s="5" t="inlineStr">
        <is>
          <t>Model value, probability-weighted ($)</t>
        </is>
      </c>
      <c r="C11" s="7">
        <f>Valuation!$C$10</f>
        <v/>
      </c>
    </row>
    <row r="12">
      <c r="A12" s="9" t="inlineStr">
        <is>
          <t>Model call (the disciplined rule, unchanged)</t>
        </is>
      </c>
      <c r="C12" s="23">
        <f>Valuation!$C$16</f>
        <v/>
      </c>
    </row>
    <row r="14">
      <c r="A14" s="9" t="inlineStr">
        <is>
          <t>What has to go right (conviction value vs base case, 2030)</t>
        </is>
      </c>
    </row>
    <row r="15">
      <c r="A15" s="5" t="inlineStr">
        <is>
          <t>AI compute reaches 13 GW by 2030 and still rents for about $26 per watt-year</t>
        </is>
      </c>
      <c r="C15" s="2" t="inlineStr">
        <is>
          <t>13.0 GW at $26/W-yr</t>
        </is>
      </c>
      <c r="F15" s="2" t="inlineStr">
        <is>
          <t>Base: 9.0 GW at $23/W-yr</t>
        </is>
      </c>
    </row>
    <row r="16">
      <c r="A16" s="5" t="inlineStr">
        <is>
          <t>Revenue reaches about $340 billion in 2030, close to Morgan Stanley's forecast</t>
        </is>
      </c>
      <c r="C16" s="2" t="inlineStr">
        <is>
          <t>$339B</t>
        </is>
      </c>
      <c r="F16" s="2" t="inlineStr">
        <is>
          <t>Base: $209B</t>
        </is>
      </c>
    </row>
    <row r="17">
      <c r="A17" s="5" t="inlineStr">
        <is>
          <t>Starlink passes 44 million subscribers by 2030 and Starlink Mobile earns $10 billion a year</t>
        </is>
      </c>
      <c r="C17" s="2" t="inlineStr">
        <is>
          <t>44.0M subs; Mobile $10B</t>
        </is>
      </c>
      <c r="F17" s="2" t="inlineStr">
        <is>
          <t>Base: 35.5M subs; Mobile $5B</t>
        </is>
      </c>
    </row>
    <row r="18">
      <c r="A18" s="5" t="inlineStr">
        <is>
          <t>Starship flies routinely from 2027, and AI capex falls to about $27 per watt by 2030</t>
        </is>
      </c>
      <c r="C18" s="2" t="inlineStr">
        <is>
          <t>$27 per watt</t>
        </is>
      </c>
      <c r="F18" s="2" t="inlineStr">
        <is>
          <t>Base: $29 per watt</t>
        </is>
      </c>
    </row>
    <row r="19">
      <c r="A19" s="5" t="inlineStr">
        <is>
          <t>Investors accept a 9% discount rate and pay 20x EBITDA in 2035</t>
        </is>
      </c>
      <c r="C19" s="2" t="inlineStr">
        <is>
          <t>9% and 20x</t>
        </is>
      </c>
      <c r="F19" s="2" t="inlineStr">
        <is>
          <t>Base: 13.1% and 13x</t>
        </is>
      </c>
    </row>
    <row r="22">
      <c r="A22" s="9" t="inlineStr">
        <is>
          <t>Conviction case: Bull drivers at the override discount rate and exit multiple</t>
        </is>
      </c>
    </row>
    <row r="23">
      <c r="A23" s="3" t="inlineStr">
        <is>
          <t>Line item</t>
        </is>
      </c>
      <c r="B23" s="4" t="inlineStr"/>
      <c r="C23" s="4" t="inlineStr">
        <is>
          <t>2027</t>
        </is>
      </c>
      <c r="D23" s="4" t="inlineStr">
        <is>
          <t>2028</t>
        </is>
      </c>
      <c r="E23" s="4" t="inlineStr">
        <is>
          <t>2029</t>
        </is>
      </c>
      <c r="F23" s="4" t="inlineStr">
        <is>
          <t>2030</t>
        </is>
      </c>
      <c r="G23" s="4" t="inlineStr">
        <is>
          <t>2031</t>
        </is>
      </c>
      <c r="H23" s="4" t="inlineStr">
        <is>
          <t>2032</t>
        </is>
      </c>
      <c r="I23" s="4" t="inlineStr">
        <is>
          <t>2033</t>
        </is>
      </c>
      <c r="J23" s="4" t="inlineStr">
        <is>
          <t>2034</t>
        </is>
      </c>
      <c r="K23" s="4" t="inlineStr">
        <is>
          <t>2035</t>
        </is>
      </c>
    </row>
    <row r="24">
      <c r="A24" s="5" t="inlineStr">
        <is>
          <t>Starlink subscribers, year end (mm)</t>
        </is>
      </c>
      <c r="C24" s="24">
        <f>Scenarios!B57</f>
        <v/>
      </c>
      <c r="D24" s="24">
        <f>Scenarios!C57</f>
        <v/>
      </c>
      <c r="E24" s="24">
        <f>Scenarios!D57</f>
        <v/>
      </c>
      <c r="F24" s="24">
        <f>Scenarios!E57</f>
        <v/>
      </c>
      <c r="G24" s="24">
        <f>Scenarios!F57</f>
        <v/>
      </c>
      <c r="H24" s="24">
        <f>Scenarios!G57</f>
        <v/>
      </c>
      <c r="I24" s="24">
        <f>Scenarios!H57</f>
        <v/>
      </c>
      <c r="J24" s="24">
        <f>Scenarios!I57</f>
        <v/>
      </c>
      <c r="K24" s="24">
        <f>Scenarios!J57</f>
        <v/>
      </c>
    </row>
    <row r="25">
      <c r="A25" s="5" t="inlineStr">
        <is>
          <t>Starlink ARPU ($ / month)</t>
        </is>
      </c>
      <c r="C25" s="24">
        <f>Scenarios!B58</f>
        <v/>
      </c>
      <c r="D25" s="24">
        <f>Scenarios!C58</f>
        <v/>
      </c>
      <c r="E25" s="24">
        <f>Scenarios!D58</f>
        <v/>
      </c>
      <c r="F25" s="24">
        <f>Scenarios!E58</f>
        <v/>
      </c>
      <c r="G25" s="24">
        <f>Scenarios!F58</f>
        <v/>
      </c>
      <c r="H25" s="24">
        <f>Scenarios!G58</f>
        <v/>
      </c>
      <c r="I25" s="24">
        <f>Scenarios!H58</f>
        <v/>
      </c>
      <c r="J25" s="24">
        <f>Scenarios!I58</f>
        <v/>
      </c>
      <c r="K25" s="24">
        <f>Scenarios!J58</f>
        <v/>
      </c>
    </row>
    <row r="26">
      <c r="A26" s="5" t="inlineStr">
        <is>
          <t>Consumer revenue incl. kits</t>
        </is>
      </c>
      <c r="C26" s="25">
        <f>(C24+Inputs!$C$22)/2*C25*12/1000*(1+Inputs!$C$25)</f>
        <v/>
      </c>
      <c r="D26" s="25">
        <f>(D24+C24)/2*D25*12/1000*(1+Inputs!$C$25)</f>
        <v/>
      </c>
      <c r="E26" s="25">
        <f>(E24+D24)/2*E25*12/1000*(1+Inputs!$C$25)</f>
        <v/>
      </c>
      <c r="F26" s="25">
        <f>(F24+E24)/2*F25*12/1000*(1+Inputs!$C$25)</f>
        <v/>
      </c>
      <c r="G26" s="25">
        <f>(G24+F24)/2*G25*12/1000*(1+Inputs!$C$25)</f>
        <v/>
      </c>
      <c r="H26" s="25">
        <f>(H24+G24)/2*H25*12/1000*(1+Inputs!$C$25)</f>
        <v/>
      </c>
      <c r="I26" s="25">
        <f>(I24+H24)/2*I25*12/1000*(1+Inputs!$C$25)</f>
        <v/>
      </c>
      <c r="J26" s="25">
        <f>(J24+I24)/2*J25*12/1000*(1+Inputs!$C$25)</f>
        <v/>
      </c>
      <c r="K26" s="25">
        <f>(K24+J24)/2*K25*12/1000*(1+Inputs!$C$25)</f>
        <v/>
      </c>
    </row>
    <row r="27">
      <c r="A27" s="5" t="inlineStr">
        <is>
          <t>Enterprise &amp; government</t>
        </is>
      </c>
      <c r="C27" s="26">
        <f>Scenarios!B59</f>
        <v/>
      </c>
      <c r="D27" s="26">
        <f>Scenarios!C59</f>
        <v/>
      </c>
      <c r="E27" s="26">
        <f>Scenarios!D59</f>
        <v/>
      </c>
      <c r="F27" s="26">
        <f>Scenarios!E59</f>
        <v/>
      </c>
      <c r="G27" s="26">
        <f>Scenarios!F59</f>
        <v/>
      </c>
      <c r="H27" s="26">
        <f>Scenarios!G59</f>
        <v/>
      </c>
      <c r="I27" s="26">
        <f>Scenarios!H59</f>
        <v/>
      </c>
      <c r="J27" s="26">
        <f>Scenarios!I59</f>
        <v/>
      </c>
      <c r="K27" s="26">
        <f>Scenarios!J59</f>
        <v/>
      </c>
    </row>
    <row r="28">
      <c r="A28" s="5" t="inlineStr">
        <is>
          <t>Starlink Mobile</t>
        </is>
      </c>
      <c r="C28" s="26">
        <f>Scenarios!B60</f>
        <v/>
      </c>
      <c r="D28" s="26">
        <f>Scenarios!C60</f>
        <v/>
      </c>
      <c r="E28" s="26">
        <f>Scenarios!D60</f>
        <v/>
      </c>
      <c r="F28" s="26">
        <f>Scenarios!E60</f>
        <v/>
      </c>
      <c r="G28" s="26">
        <f>Scenarios!F60</f>
        <v/>
      </c>
      <c r="H28" s="26">
        <f>Scenarios!G60</f>
        <v/>
      </c>
      <c r="I28" s="26">
        <f>Scenarios!H60</f>
        <v/>
      </c>
      <c r="J28" s="26">
        <f>Scenarios!I60</f>
        <v/>
      </c>
      <c r="K28" s="26">
        <f>Scenarios!J60</f>
        <v/>
      </c>
    </row>
    <row r="29">
      <c r="A29" s="9" t="inlineStr">
        <is>
          <t>Connectivity revenue</t>
        </is>
      </c>
      <c r="C29" s="25">
        <f>C26+C27+C28</f>
        <v/>
      </c>
      <c r="D29" s="25">
        <f>D26+D27+D28</f>
        <v/>
      </c>
      <c r="E29" s="25">
        <f>E26+E27+E28</f>
        <v/>
      </c>
      <c r="F29" s="25">
        <f>F26+F27+F28</f>
        <v/>
      </c>
      <c r="G29" s="25">
        <f>G26+G27+G28</f>
        <v/>
      </c>
      <c r="H29" s="25">
        <f>H26+H27+H28</f>
        <v/>
      </c>
      <c r="I29" s="25">
        <f>I26+I27+I28</f>
        <v/>
      </c>
      <c r="J29" s="25">
        <f>J26+J27+J28</f>
        <v/>
      </c>
      <c r="K29" s="25">
        <f>K26+K27+K28</f>
        <v/>
      </c>
    </row>
    <row r="30">
      <c r="A30" s="5" t="inlineStr">
        <is>
          <t>Space revenue</t>
        </is>
      </c>
      <c r="C30" s="26">
        <f>Scenarios!B63</f>
        <v/>
      </c>
      <c r="D30" s="26">
        <f>Scenarios!C63</f>
        <v/>
      </c>
      <c r="E30" s="26">
        <f>Scenarios!D63</f>
        <v/>
      </c>
      <c r="F30" s="26">
        <f>Scenarios!E63</f>
        <v/>
      </c>
      <c r="G30" s="26">
        <f>Scenarios!F63</f>
        <v/>
      </c>
      <c r="H30" s="26">
        <f>Scenarios!G63</f>
        <v/>
      </c>
      <c r="I30" s="26">
        <f>Scenarios!H63</f>
        <v/>
      </c>
      <c r="J30" s="26">
        <f>Scenarios!I63</f>
        <v/>
      </c>
      <c r="K30" s="26">
        <f>Scenarios!J63</f>
        <v/>
      </c>
    </row>
    <row r="31">
      <c r="A31" s="5" t="inlineStr">
        <is>
          <t>AI compute, year end (GW)</t>
        </is>
      </c>
      <c r="C31" s="24">
        <f>Scenarios!B67</f>
        <v/>
      </c>
      <c r="D31" s="24">
        <f>Scenarios!C67</f>
        <v/>
      </c>
      <c r="E31" s="24">
        <f>Scenarios!D67</f>
        <v/>
      </c>
      <c r="F31" s="24">
        <f>Scenarios!E67</f>
        <v/>
      </c>
      <c r="G31" s="24">
        <f>Scenarios!F67</f>
        <v/>
      </c>
      <c r="H31" s="24">
        <f>Scenarios!G67</f>
        <v/>
      </c>
      <c r="I31" s="24">
        <f>Scenarios!H67</f>
        <v/>
      </c>
      <c r="J31" s="24">
        <f>Scenarios!I67</f>
        <v/>
      </c>
      <c r="K31" s="24">
        <f>Scenarios!J67</f>
        <v/>
      </c>
    </row>
    <row r="32">
      <c r="A32" s="5" t="inlineStr">
        <is>
          <t>Share rented</t>
        </is>
      </c>
      <c r="C32" s="6">
        <f>Scenarios!B68</f>
        <v/>
      </c>
      <c r="D32" s="6">
        <f>Scenarios!C68</f>
        <v/>
      </c>
      <c r="E32" s="6">
        <f>Scenarios!D68</f>
        <v/>
      </c>
      <c r="F32" s="6">
        <f>Scenarios!E68</f>
        <v/>
      </c>
      <c r="G32" s="6">
        <f>Scenarios!F68</f>
        <v/>
      </c>
      <c r="H32" s="6">
        <f>Scenarios!G68</f>
        <v/>
      </c>
      <c r="I32" s="6">
        <f>Scenarios!H68</f>
        <v/>
      </c>
      <c r="J32" s="6">
        <f>Scenarios!I68</f>
        <v/>
      </c>
      <c r="K32" s="6">
        <f>Scenarios!J68</f>
        <v/>
      </c>
    </row>
    <row r="33">
      <c r="A33" s="5" t="inlineStr">
        <is>
          <t>Revenue per watt-year ($)</t>
        </is>
      </c>
      <c r="C33" s="24">
        <f>Scenarios!B69</f>
        <v/>
      </c>
      <c r="D33" s="24">
        <f>Scenarios!C69</f>
        <v/>
      </c>
      <c r="E33" s="24">
        <f>Scenarios!D69</f>
        <v/>
      </c>
      <c r="F33" s="24">
        <f>Scenarios!E69</f>
        <v/>
      </c>
      <c r="G33" s="24">
        <f>Scenarios!F69</f>
        <v/>
      </c>
      <c r="H33" s="24">
        <f>Scenarios!G69</f>
        <v/>
      </c>
      <c r="I33" s="24">
        <f>Scenarios!H69</f>
        <v/>
      </c>
      <c r="J33" s="24">
        <f>Scenarios!I69</f>
        <v/>
      </c>
      <c r="K33" s="24">
        <f>Scenarios!J69</f>
        <v/>
      </c>
    </row>
    <row r="34">
      <c r="A34" s="5" t="inlineStr">
        <is>
          <t>Cloud services revenue</t>
        </is>
      </c>
      <c r="C34" s="25">
        <f>(C31+Inputs!$C$23)/2*C32*C33</f>
        <v/>
      </c>
      <c r="D34" s="25">
        <f>(D31+C31)/2*D32*D33</f>
        <v/>
      </c>
      <c r="E34" s="25">
        <f>(E31+D31)/2*E32*E33</f>
        <v/>
      </c>
      <c r="F34" s="25">
        <f>(F31+E31)/2*F32*F33</f>
        <v/>
      </c>
      <c r="G34" s="25">
        <f>(G31+F31)/2*G32*G33</f>
        <v/>
      </c>
      <c r="H34" s="25">
        <f>(H31+G31)/2*H32*H33</f>
        <v/>
      </c>
      <c r="I34" s="25">
        <f>(I31+H31)/2*I32*I33</f>
        <v/>
      </c>
      <c r="J34" s="25">
        <f>(J31+I31)/2*J32*J33</f>
        <v/>
      </c>
      <c r="K34" s="25">
        <f>(K31+J31)/2*K32*K33</f>
        <v/>
      </c>
    </row>
    <row r="35">
      <c r="A35" s="5" t="inlineStr">
        <is>
          <t>Grok / X / Cursor revenue</t>
        </is>
      </c>
      <c r="C35" s="26">
        <f>Scenarios!B72</f>
        <v/>
      </c>
      <c r="D35" s="26">
        <f>Scenarios!C72</f>
        <v/>
      </c>
      <c r="E35" s="26">
        <f>Scenarios!D72</f>
        <v/>
      </c>
      <c r="F35" s="26">
        <f>Scenarios!E72</f>
        <v/>
      </c>
      <c r="G35" s="26">
        <f>Scenarios!F72</f>
        <v/>
      </c>
      <c r="H35" s="26">
        <f>Scenarios!G72</f>
        <v/>
      </c>
      <c r="I35" s="26">
        <f>Scenarios!H72</f>
        <v/>
      </c>
      <c r="J35" s="26">
        <f>Scenarios!I72</f>
        <v/>
      </c>
      <c r="K35" s="26">
        <f>Scenarios!J72</f>
        <v/>
      </c>
    </row>
    <row r="36">
      <c r="A36" s="9" t="inlineStr">
        <is>
          <t>AI revenue</t>
        </is>
      </c>
      <c r="C36" s="25">
        <f>C34+C35</f>
        <v/>
      </c>
      <c r="D36" s="25">
        <f>D34+D35</f>
        <v/>
      </c>
      <c r="E36" s="25">
        <f>E34+E35</f>
        <v/>
      </c>
      <c r="F36" s="25">
        <f>F34+F35</f>
        <v/>
      </c>
      <c r="G36" s="25">
        <f>G34+G35</f>
        <v/>
      </c>
      <c r="H36" s="25">
        <f>H34+H35</f>
        <v/>
      </c>
      <c r="I36" s="25">
        <f>I34+I35</f>
        <v/>
      </c>
      <c r="J36" s="25">
        <f>J34+J35</f>
        <v/>
      </c>
      <c r="K36" s="25">
        <f>K34+K35</f>
        <v/>
      </c>
    </row>
    <row r="37">
      <c r="A37" s="9" t="inlineStr">
        <is>
          <t>Total revenue</t>
        </is>
      </c>
      <c r="C37" s="25">
        <f>C29+C30+C36</f>
        <v/>
      </c>
      <c r="D37" s="25">
        <f>D29+D30+D36</f>
        <v/>
      </c>
      <c r="E37" s="25">
        <f>E29+E30+E36</f>
        <v/>
      </c>
      <c r="F37" s="25">
        <f>F29+F30+F36</f>
        <v/>
      </c>
      <c r="G37" s="25">
        <f>G29+G30+G36</f>
        <v/>
      </c>
      <c r="H37" s="25">
        <f>H29+H30+H36</f>
        <v/>
      </c>
      <c r="I37" s="25">
        <f>I29+I30+I36</f>
        <v/>
      </c>
      <c r="J37" s="25">
        <f>J29+J30+J36</f>
        <v/>
      </c>
      <c r="K37" s="25">
        <f>K29+K30+K36</f>
        <v/>
      </c>
    </row>
    <row r="38">
      <c r="A38" s="5" t="inlineStr">
        <is>
          <t>Connectivity margin</t>
        </is>
      </c>
      <c r="C38" s="6">
        <f>Scenarios!B61</f>
        <v/>
      </c>
      <c r="D38" s="6">
        <f>Scenarios!C61</f>
        <v/>
      </c>
      <c r="E38" s="6">
        <f>Scenarios!D61</f>
        <v/>
      </c>
      <c r="F38" s="6">
        <f>Scenarios!E61</f>
        <v/>
      </c>
      <c r="G38" s="6">
        <f>Scenarios!F61</f>
        <v/>
      </c>
      <c r="H38" s="6">
        <f>Scenarios!G61</f>
        <v/>
      </c>
      <c r="I38" s="6">
        <f>Scenarios!H61</f>
        <v/>
      </c>
      <c r="J38" s="6">
        <f>Scenarios!I61</f>
        <v/>
      </c>
      <c r="K38" s="6">
        <f>Scenarios!J61</f>
        <v/>
      </c>
    </row>
    <row r="39">
      <c r="A39" s="5" t="inlineStr">
        <is>
          <t>Connectivity adj. EBITDA</t>
        </is>
      </c>
      <c r="C39" s="25">
        <f>C29*C38</f>
        <v/>
      </c>
      <c r="D39" s="25">
        <f>D29*D38</f>
        <v/>
      </c>
      <c r="E39" s="25">
        <f>E29*E38</f>
        <v/>
      </c>
      <c r="F39" s="25">
        <f>F29*F38</f>
        <v/>
      </c>
      <c r="G39" s="25">
        <f>G29*G38</f>
        <v/>
      </c>
      <c r="H39" s="25">
        <f>H29*H38</f>
        <v/>
      </c>
      <c r="I39" s="25">
        <f>I29*I38</f>
        <v/>
      </c>
      <c r="J39" s="25">
        <f>J29*J38</f>
        <v/>
      </c>
      <c r="K39" s="25">
        <f>K29*K38</f>
        <v/>
      </c>
    </row>
    <row r="40">
      <c r="A40" s="5" t="inlineStr">
        <is>
          <t>Space margin before Starship R&amp;D</t>
        </is>
      </c>
      <c r="C40" s="6">
        <f>Scenarios!B64</f>
        <v/>
      </c>
      <c r="D40" s="6">
        <f>Scenarios!C64</f>
        <v/>
      </c>
      <c r="E40" s="6">
        <f>Scenarios!D64</f>
        <v/>
      </c>
      <c r="F40" s="6">
        <f>Scenarios!E64</f>
        <v/>
      </c>
      <c r="G40" s="6">
        <f>Scenarios!F64</f>
        <v/>
      </c>
      <c r="H40" s="6">
        <f>Scenarios!G64</f>
        <v/>
      </c>
      <c r="I40" s="6">
        <f>Scenarios!H64</f>
        <v/>
      </c>
      <c r="J40" s="6">
        <f>Scenarios!I64</f>
        <v/>
      </c>
      <c r="K40" s="6">
        <f>Scenarios!J64</f>
        <v/>
      </c>
    </row>
    <row r="41">
      <c r="A41" s="5" t="inlineStr">
        <is>
          <t>Starship R&amp;D</t>
        </is>
      </c>
      <c r="C41" s="26">
        <f>Scenarios!B65</f>
        <v/>
      </c>
      <c r="D41" s="26">
        <f>Scenarios!C65</f>
        <v/>
      </c>
      <c r="E41" s="26">
        <f>Scenarios!D65</f>
        <v/>
      </c>
      <c r="F41" s="26">
        <f>Scenarios!E65</f>
        <v/>
      </c>
      <c r="G41" s="26">
        <f>Scenarios!F65</f>
        <v/>
      </c>
      <c r="H41" s="26">
        <f>Scenarios!G65</f>
        <v/>
      </c>
      <c r="I41" s="26">
        <f>Scenarios!H65</f>
        <v/>
      </c>
      <c r="J41" s="26">
        <f>Scenarios!I65</f>
        <v/>
      </c>
      <c r="K41" s="26">
        <f>Scenarios!J65</f>
        <v/>
      </c>
    </row>
    <row r="42">
      <c r="A42" s="5" t="inlineStr">
        <is>
          <t>Space adj. EBITDA</t>
        </is>
      </c>
      <c r="C42" s="25">
        <f>C30*C40-C41</f>
        <v/>
      </c>
      <c r="D42" s="25">
        <f>D30*D40-D41</f>
        <v/>
      </c>
      <c r="E42" s="25">
        <f>E30*E40-E41</f>
        <v/>
      </c>
      <c r="F42" s="25">
        <f>F30*F40-F41</f>
        <v/>
      </c>
      <c r="G42" s="25">
        <f>G30*G40-G41</f>
        <v/>
      </c>
      <c r="H42" s="25">
        <f>H30*H40-H41</f>
        <v/>
      </c>
      <c r="I42" s="25">
        <f>I30*I40-I41</f>
        <v/>
      </c>
      <c r="J42" s="25">
        <f>J30*J40-J41</f>
        <v/>
      </c>
      <c r="K42" s="25">
        <f>K30*K40-K41</f>
        <v/>
      </c>
    </row>
    <row r="43">
      <c r="A43" s="5" t="inlineStr">
        <is>
          <t>Cloud margin</t>
        </is>
      </c>
      <c r="C43" s="6">
        <f>Scenarios!B70</f>
        <v/>
      </c>
      <c r="D43" s="6">
        <f>Scenarios!C70</f>
        <v/>
      </c>
      <c r="E43" s="6">
        <f>Scenarios!D70</f>
        <v/>
      </c>
      <c r="F43" s="6">
        <f>Scenarios!E70</f>
        <v/>
      </c>
      <c r="G43" s="6">
        <f>Scenarios!F70</f>
        <v/>
      </c>
      <c r="H43" s="6">
        <f>Scenarios!G70</f>
        <v/>
      </c>
      <c r="I43" s="6">
        <f>Scenarios!H70</f>
        <v/>
      </c>
      <c r="J43" s="6">
        <f>Scenarios!I70</f>
        <v/>
      </c>
      <c r="K43" s="6">
        <f>Scenarios!J70</f>
        <v/>
      </c>
    </row>
    <row r="44">
      <c r="A44" s="5" t="inlineStr">
        <is>
          <t>Apps and ads margin</t>
        </is>
      </c>
      <c r="C44" s="6">
        <f>Scenarios!B73</f>
        <v/>
      </c>
      <c r="D44" s="6">
        <f>Scenarios!C73</f>
        <v/>
      </c>
      <c r="E44" s="6">
        <f>Scenarios!D73</f>
        <v/>
      </c>
      <c r="F44" s="6">
        <f>Scenarios!E73</f>
        <v/>
      </c>
      <c r="G44" s="6">
        <f>Scenarios!F73</f>
        <v/>
      </c>
      <c r="H44" s="6">
        <f>Scenarios!G73</f>
        <v/>
      </c>
      <c r="I44" s="6">
        <f>Scenarios!H73</f>
        <v/>
      </c>
      <c r="J44" s="6">
        <f>Scenarios!I73</f>
        <v/>
      </c>
      <c r="K44" s="6">
        <f>Scenarios!J73</f>
        <v/>
      </c>
    </row>
    <row r="45">
      <c r="A45" s="5" t="inlineStr">
        <is>
          <t>Frontier-model R&amp;D</t>
        </is>
      </c>
      <c r="C45" s="26">
        <f>Scenarios!B74</f>
        <v/>
      </c>
      <c r="D45" s="26">
        <f>Scenarios!C74</f>
        <v/>
      </c>
      <c r="E45" s="26">
        <f>Scenarios!D74</f>
        <v/>
      </c>
      <c r="F45" s="26">
        <f>Scenarios!E74</f>
        <v/>
      </c>
      <c r="G45" s="26">
        <f>Scenarios!F74</f>
        <v/>
      </c>
      <c r="H45" s="26">
        <f>Scenarios!G74</f>
        <v/>
      </c>
      <c r="I45" s="26">
        <f>Scenarios!H74</f>
        <v/>
      </c>
      <c r="J45" s="26">
        <f>Scenarios!I74</f>
        <v/>
      </c>
      <c r="K45" s="26">
        <f>Scenarios!J74</f>
        <v/>
      </c>
    </row>
    <row r="46">
      <c r="A46" s="5" t="inlineStr">
        <is>
          <t>AI adj. EBITDA</t>
        </is>
      </c>
      <c r="C46" s="25">
        <f>C34*C43+C35*C44-C45</f>
        <v/>
      </c>
      <c r="D46" s="25">
        <f>D34*D43+D35*D44-D45</f>
        <v/>
      </c>
      <c r="E46" s="25">
        <f>E34*E43+E35*E44-E45</f>
        <v/>
      </c>
      <c r="F46" s="25">
        <f>F34*F43+F35*F44-F45</f>
        <v/>
      </c>
      <c r="G46" s="25">
        <f>G34*G43+G35*G44-G45</f>
        <v/>
      </c>
      <c r="H46" s="25">
        <f>H34*H43+H35*H44-H45</f>
        <v/>
      </c>
      <c r="I46" s="25">
        <f>I34*I43+I35*I44-I45</f>
        <v/>
      </c>
      <c r="J46" s="25">
        <f>J34*J43+J35*J44-J45</f>
        <v/>
      </c>
      <c r="K46" s="25">
        <f>K34*K43+K35*K44-K45</f>
        <v/>
      </c>
    </row>
    <row r="47">
      <c r="A47" s="9" t="inlineStr">
        <is>
          <t>Adjusted EBITDA (before stock comp)</t>
        </is>
      </c>
      <c r="C47" s="25">
        <f>C39+C42+C46</f>
        <v/>
      </c>
      <c r="D47" s="25">
        <f>D39+D42+D46</f>
        <v/>
      </c>
      <c r="E47" s="25">
        <f>E39+E42+E46</f>
        <v/>
      </c>
      <c r="F47" s="25">
        <f>F39+F42+F46</f>
        <v/>
      </c>
      <c r="G47" s="25">
        <f>G39+G42+G46</f>
        <v/>
      </c>
      <c r="H47" s="25">
        <f>H39+H42+H46</f>
        <v/>
      </c>
      <c r="I47" s="25">
        <f>I39+I42+I46</f>
        <v/>
      </c>
      <c r="J47" s="25">
        <f>J39+J42+J46</f>
        <v/>
      </c>
      <c r="K47" s="25">
        <f>K39+K42+K46</f>
        <v/>
      </c>
    </row>
    <row r="48">
      <c r="A48" s="5" t="inlineStr">
        <is>
          <t>Stock comp, % of revenue</t>
        </is>
      </c>
      <c r="C48" s="6">
        <f>Scenarios!B75</f>
        <v/>
      </c>
      <c r="D48" s="6">
        <f>Scenarios!C75</f>
        <v/>
      </c>
      <c r="E48" s="6">
        <f>Scenarios!D75</f>
        <v/>
      </c>
      <c r="F48" s="6">
        <f>Scenarios!E75</f>
        <v/>
      </c>
      <c r="G48" s="6">
        <f>Scenarios!F75</f>
        <v/>
      </c>
      <c r="H48" s="6">
        <f>Scenarios!G75</f>
        <v/>
      </c>
      <c r="I48" s="6">
        <f>Scenarios!H75</f>
        <v/>
      </c>
      <c r="J48" s="6">
        <f>Scenarios!I75</f>
        <v/>
      </c>
      <c r="K48" s="6">
        <f>Scenarios!J75</f>
        <v/>
      </c>
    </row>
    <row r="49">
      <c r="A49" s="5" t="inlineStr">
        <is>
          <t>Stock-based compensation</t>
        </is>
      </c>
      <c r="C49" s="25">
        <f>C37*C48</f>
        <v/>
      </c>
      <c r="D49" s="25">
        <f>D37*D48</f>
        <v/>
      </c>
      <c r="E49" s="25">
        <f>E37*E48</f>
        <v/>
      </c>
      <c r="F49" s="25">
        <f>F37*F48</f>
        <v/>
      </c>
      <c r="G49" s="25">
        <f>G37*G48</f>
        <v/>
      </c>
      <c r="H49" s="25">
        <f>H37*H48</f>
        <v/>
      </c>
      <c r="I49" s="25">
        <f>I37*I48</f>
        <v/>
      </c>
      <c r="J49" s="25">
        <f>J37*J48</f>
        <v/>
      </c>
      <c r="K49" s="25">
        <f>K37*K48</f>
        <v/>
      </c>
    </row>
    <row r="50">
      <c r="A50" s="9" t="inlineStr">
        <is>
          <t>EBITDA after stock comp</t>
        </is>
      </c>
      <c r="C50" s="25">
        <f>C47-C49</f>
        <v/>
      </c>
      <c r="D50" s="25">
        <f>D47-D49</f>
        <v/>
      </c>
      <c r="E50" s="25">
        <f>E47-E49</f>
        <v/>
      </c>
      <c r="F50" s="25">
        <f>F47-F49</f>
        <v/>
      </c>
      <c r="G50" s="25">
        <f>G47-G49</f>
        <v/>
      </c>
      <c r="H50" s="25">
        <f>H47-H49</f>
        <v/>
      </c>
      <c r="I50" s="25">
        <f>I47-I49</f>
        <v/>
      </c>
      <c r="J50" s="25">
        <f>J47-J49</f>
        <v/>
      </c>
      <c r="K50" s="25">
        <f>K47-K49</f>
        <v/>
      </c>
    </row>
    <row r="51">
      <c r="A51" s="5" t="inlineStr">
        <is>
          <t>AI capex per watt ($)</t>
        </is>
      </c>
      <c r="C51" s="24">
        <f>Scenarios!B71</f>
        <v/>
      </c>
      <c r="D51" s="24">
        <f>Scenarios!C71</f>
        <v/>
      </c>
      <c r="E51" s="24">
        <f>Scenarios!D71</f>
        <v/>
      </c>
      <c r="F51" s="24">
        <f>Scenarios!E71</f>
        <v/>
      </c>
      <c r="G51" s="24">
        <f>Scenarios!F71</f>
        <v/>
      </c>
      <c r="H51" s="24">
        <f>Scenarios!G71</f>
        <v/>
      </c>
      <c r="I51" s="24">
        <f>Scenarios!H71</f>
        <v/>
      </c>
      <c r="J51" s="24">
        <f>Scenarios!I71</f>
        <v/>
      </c>
      <c r="K51" s="24">
        <f>Scenarios!J71</f>
        <v/>
      </c>
    </row>
    <row r="52">
      <c r="A52" s="5" t="inlineStr">
        <is>
          <t>AI depreciation</t>
        </is>
      </c>
      <c r="C52" s="25">
        <f>(C31+Inputs!$C$23)/2*C51/Inputs!$C$27</f>
        <v/>
      </c>
      <c r="D52" s="25">
        <f>(D31+C31)/2*D51/Inputs!$C$27</f>
        <v/>
      </c>
      <c r="E52" s="25">
        <f>(E31+D31)/2*E51/Inputs!$C$27</f>
        <v/>
      </c>
      <c r="F52" s="25">
        <f>(F31+E31)/2*F51/Inputs!$C$27</f>
        <v/>
      </c>
      <c r="G52" s="25">
        <f>(G31+F31)/2*G51/Inputs!$C$27</f>
        <v/>
      </c>
      <c r="H52" s="25">
        <f>(H31+G31)/2*H51/Inputs!$C$27</f>
        <v/>
      </c>
      <c r="I52" s="25">
        <f>(I31+H31)/2*I51/Inputs!$C$27</f>
        <v/>
      </c>
      <c r="J52" s="25">
        <f>(J31+I31)/2*J51/Inputs!$C$27</f>
        <v/>
      </c>
      <c r="K52" s="25">
        <f>(K31+J31)/2*K51/Inputs!$C$27</f>
        <v/>
      </c>
    </row>
    <row r="53">
      <c r="A53" s="5" t="inlineStr">
        <is>
          <t>Depreciation &amp; amortization</t>
        </is>
      </c>
      <c r="C53" s="25">
        <f>(C29+C30)*Inputs!$C$26+C52</f>
        <v/>
      </c>
      <c r="D53" s="25">
        <f>(D29+D30)*Inputs!$C$26+D52</f>
        <v/>
      </c>
      <c r="E53" s="25">
        <f>(E29+E30)*Inputs!$C$26+E52</f>
        <v/>
      </c>
      <c r="F53" s="25">
        <f>(F29+F30)*Inputs!$C$26+F52</f>
        <v/>
      </c>
      <c r="G53" s="25">
        <f>(G29+G30)*Inputs!$C$26+G52</f>
        <v/>
      </c>
      <c r="H53" s="25">
        <f>(H29+H30)*Inputs!$C$26+H52</f>
        <v/>
      </c>
      <c r="I53" s="25">
        <f>(I29+I30)*Inputs!$C$26+I52</f>
        <v/>
      </c>
      <c r="J53" s="25">
        <f>(J29+J30)*Inputs!$C$26+J52</f>
        <v/>
      </c>
      <c r="K53" s="25">
        <f>(K29+K30)*Inputs!$C$26+K52</f>
        <v/>
      </c>
    </row>
    <row r="54">
      <c r="A54" s="9" t="inlineStr">
        <is>
          <t>EBIT</t>
        </is>
      </c>
      <c r="C54" s="25">
        <f>C50-C53</f>
        <v/>
      </c>
      <c r="D54" s="25">
        <f>D50-D53</f>
        <v/>
      </c>
      <c r="E54" s="25">
        <f>E50-E53</f>
        <v/>
      </c>
      <c r="F54" s="25">
        <f>F50-F53</f>
        <v/>
      </c>
      <c r="G54" s="25">
        <f>G50-G53</f>
        <v/>
      </c>
      <c r="H54" s="25">
        <f>H50-H53</f>
        <v/>
      </c>
      <c r="I54" s="25">
        <f>I50-I53</f>
        <v/>
      </c>
      <c r="J54" s="25">
        <f>J50-J53</f>
        <v/>
      </c>
      <c r="K54" s="25">
        <f>K50-K53</f>
        <v/>
      </c>
    </row>
    <row r="55">
      <c r="A55" s="5" t="inlineStr">
        <is>
          <t>EBIT margin</t>
        </is>
      </c>
      <c r="C55" s="8">
        <f>IF(C37=0,0,C54/C37)</f>
        <v/>
      </c>
      <c r="D55" s="8">
        <f>IF(D37=0,0,D54/D37)</f>
        <v/>
      </c>
      <c r="E55" s="8">
        <f>IF(E37=0,0,E54/E37)</f>
        <v/>
      </c>
      <c r="F55" s="8">
        <f>IF(F37=0,0,F54/F37)</f>
        <v/>
      </c>
      <c r="G55" s="8">
        <f>IF(G37=0,0,G54/G37)</f>
        <v/>
      </c>
      <c r="H55" s="8">
        <f>IF(H37=0,0,H54/H37)</f>
        <v/>
      </c>
      <c r="I55" s="8">
        <f>IF(I37=0,0,I54/I37)</f>
        <v/>
      </c>
      <c r="J55" s="8">
        <f>IF(J37=0,0,J54/J37)</f>
        <v/>
      </c>
      <c r="K55" s="8">
        <f>IF(K37=0,0,K54/K37)</f>
        <v/>
      </c>
    </row>
    <row r="56">
      <c r="A56" s="5" t="inlineStr">
        <is>
          <t>AI capex</t>
        </is>
      </c>
      <c r="C56" s="25">
        <f>MAX(0,C31-Inputs!$C$23*(1-1/Inputs!$C$27))*C51</f>
        <v/>
      </c>
      <c r="D56" s="25">
        <f>MAX(0,D31-C31*(1-1/Inputs!$C$27))*D51</f>
        <v/>
      </c>
      <c r="E56" s="25">
        <f>MAX(0,E31-D31*(1-1/Inputs!$C$27))*E51</f>
        <v/>
      </c>
      <c r="F56" s="25">
        <f>MAX(0,F31-E31*(1-1/Inputs!$C$27))*F51</f>
        <v/>
      </c>
      <c r="G56" s="25">
        <f>MAX(0,G31-F31*(1-1/Inputs!$C$27))*G51</f>
        <v/>
      </c>
      <c r="H56" s="25">
        <f>MAX(0,H31-G31*(1-1/Inputs!$C$27))*H51</f>
        <v/>
      </c>
      <c r="I56" s="25">
        <f>MAX(0,I31-H31*(1-1/Inputs!$C$27))*I51</f>
        <v/>
      </c>
      <c r="J56" s="25">
        <f>MAX(0,J31-I31*(1-1/Inputs!$C$27))*J51</f>
        <v/>
      </c>
      <c r="K56" s="25">
        <f>MAX(0,K31-J31*(1-1/Inputs!$C$27))*K51</f>
        <v/>
      </c>
    </row>
    <row r="57">
      <c r="A57" s="5" t="inlineStr">
        <is>
          <t>Connectivity capex, % of revenue</t>
        </is>
      </c>
      <c r="C57" s="6">
        <f>Scenarios!B62</f>
        <v/>
      </c>
      <c r="D57" s="6">
        <f>Scenarios!C62</f>
        <v/>
      </c>
      <c r="E57" s="6">
        <f>Scenarios!D62</f>
        <v/>
      </c>
      <c r="F57" s="6">
        <f>Scenarios!E62</f>
        <v/>
      </c>
      <c r="G57" s="6">
        <f>Scenarios!F62</f>
        <v/>
      </c>
      <c r="H57" s="6">
        <f>Scenarios!G62</f>
        <v/>
      </c>
      <c r="I57" s="6">
        <f>Scenarios!H62</f>
        <v/>
      </c>
      <c r="J57" s="6">
        <f>Scenarios!I62</f>
        <v/>
      </c>
      <c r="K57" s="6">
        <f>Scenarios!J62</f>
        <v/>
      </c>
    </row>
    <row r="58">
      <c r="A58" s="5" t="inlineStr">
        <is>
          <t>Connectivity capex</t>
        </is>
      </c>
      <c r="C58" s="25">
        <f>C29*C57</f>
        <v/>
      </c>
      <c r="D58" s="25">
        <f>D29*D57</f>
        <v/>
      </c>
      <c r="E58" s="25">
        <f>E29*E57</f>
        <v/>
      </c>
      <c r="F58" s="25">
        <f>F29*F57</f>
        <v/>
      </c>
      <c r="G58" s="25">
        <f>G29*G57</f>
        <v/>
      </c>
      <c r="H58" s="25">
        <f>H29*H57</f>
        <v/>
      </c>
      <c r="I58" s="25">
        <f>I29*I57</f>
        <v/>
      </c>
      <c r="J58" s="25">
        <f>J29*J57</f>
        <v/>
      </c>
      <c r="K58" s="25">
        <f>K29*K57</f>
        <v/>
      </c>
    </row>
    <row r="59">
      <c r="A59" s="5" t="inlineStr">
        <is>
          <t>Space capex</t>
        </is>
      </c>
      <c r="C59" s="26">
        <f>Scenarios!B66</f>
        <v/>
      </c>
      <c r="D59" s="26">
        <f>Scenarios!C66</f>
        <v/>
      </c>
      <c r="E59" s="26">
        <f>Scenarios!D66</f>
        <v/>
      </c>
      <c r="F59" s="26">
        <f>Scenarios!E66</f>
        <v/>
      </c>
      <c r="G59" s="26">
        <f>Scenarios!F66</f>
        <v/>
      </c>
      <c r="H59" s="26">
        <f>Scenarios!G66</f>
        <v/>
      </c>
      <c r="I59" s="26">
        <f>Scenarios!H66</f>
        <v/>
      </c>
      <c r="J59" s="26">
        <f>Scenarios!I66</f>
        <v/>
      </c>
      <c r="K59" s="26">
        <f>Scenarios!J66</f>
        <v/>
      </c>
    </row>
    <row r="60">
      <c r="A60" s="9" t="inlineStr">
        <is>
          <t>Capital expenditures</t>
        </is>
      </c>
      <c r="C60" s="25">
        <f>C56+C58+C59</f>
        <v/>
      </c>
      <c r="D60" s="25">
        <f>D56+D58+D59</f>
        <v/>
      </c>
      <c r="E60" s="25">
        <f>E56+E58+E59</f>
        <v/>
      </c>
      <c r="F60" s="25">
        <f>F56+F58+F59</f>
        <v/>
      </c>
      <c r="G60" s="25">
        <f>G56+G58+G59</f>
        <v/>
      </c>
      <c r="H60" s="25">
        <f>H56+H58+H59</f>
        <v/>
      </c>
      <c r="I60" s="25">
        <f>I56+I58+I59</f>
        <v/>
      </c>
      <c r="J60" s="25">
        <f>J56+J58+J59</f>
        <v/>
      </c>
      <c r="K60" s="25">
        <f>K56+K58+K59</f>
        <v/>
      </c>
    </row>
    <row r="61">
      <c r="A61" s="5" t="inlineStr">
        <is>
          <t>Net operating losses, start</t>
        </is>
      </c>
      <c r="C61" s="25">
        <f>Inputs!$C$28</f>
        <v/>
      </c>
      <c r="D61" s="25">
        <f>C64</f>
        <v/>
      </c>
      <c r="E61" s="25">
        <f>D64</f>
        <v/>
      </c>
      <c r="F61" s="25">
        <f>E64</f>
        <v/>
      </c>
      <c r="G61" s="25">
        <f>F64</f>
        <v/>
      </c>
      <c r="H61" s="25">
        <f>G64</f>
        <v/>
      </c>
      <c r="I61" s="25">
        <f>H64</f>
        <v/>
      </c>
      <c r="J61" s="25">
        <f>I64</f>
        <v/>
      </c>
      <c r="K61" s="25">
        <f>J64</f>
        <v/>
      </c>
    </row>
    <row r="62">
      <c r="A62" s="5" t="inlineStr">
        <is>
          <t>Losses used</t>
        </is>
      </c>
      <c r="C62" s="25">
        <f>MIN(C61,MAX(0,C54))</f>
        <v/>
      </c>
      <c r="D62" s="25">
        <f>MIN(D61,MAX(0,D54))</f>
        <v/>
      </c>
      <c r="E62" s="25">
        <f>MIN(E61,MAX(0,E54))</f>
        <v/>
      </c>
      <c r="F62" s="25">
        <f>MIN(F61,MAX(0,F54))</f>
        <v/>
      </c>
      <c r="G62" s="25">
        <f>MIN(G61,MAX(0,G54))</f>
        <v/>
      </c>
      <c r="H62" s="25">
        <f>MIN(H61,MAX(0,H54))</f>
        <v/>
      </c>
      <c r="I62" s="25">
        <f>MIN(I61,MAX(0,I54))</f>
        <v/>
      </c>
      <c r="J62" s="25">
        <f>MIN(J61,MAX(0,J54))</f>
        <v/>
      </c>
      <c r="K62" s="25">
        <f>MIN(K61,MAX(0,K54))</f>
        <v/>
      </c>
    </row>
    <row r="63">
      <c r="A63" s="5" t="inlineStr">
        <is>
          <t>Cash taxes</t>
        </is>
      </c>
      <c r="C63" s="25">
        <f>Inputs!$C$29*MAX(0,C54-C62)</f>
        <v/>
      </c>
      <c r="D63" s="25">
        <f>Inputs!$C$29*MAX(0,D54-D62)</f>
        <v/>
      </c>
      <c r="E63" s="25">
        <f>Inputs!$C$29*MAX(0,E54-E62)</f>
        <v/>
      </c>
      <c r="F63" s="25">
        <f>Inputs!$C$29*MAX(0,F54-F62)</f>
        <v/>
      </c>
      <c r="G63" s="25">
        <f>Inputs!$C$29*MAX(0,G54-G62)</f>
        <v/>
      </c>
      <c r="H63" s="25">
        <f>Inputs!$C$29*MAX(0,H54-H62)</f>
        <v/>
      </c>
      <c r="I63" s="25">
        <f>Inputs!$C$29*MAX(0,I54-I62)</f>
        <v/>
      </c>
      <c r="J63" s="25">
        <f>Inputs!$C$29*MAX(0,J54-J62)</f>
        <v/>
      </c>
      <c r="K63" s="25">
        <f>Inputs!$C$29*MAX(0,K54-K62)</f>
        <v/>
      </c>
    </row>
    <row r="64">
      <c r="A64" s="5" t="inlineStr">
        <is>
          <t>Net operating losses, end</t>
        </is>
      </c>
      <c r="C64" s="25">
        <f>C61-C62+MAX(0,-C54)</f>
        <v/>
      </c>
      <c r="D64" s="25">
        <f>D61-D62+MAX(0,-D54)</f>
        <v/>
      </c>
      <c r="E64" s="25">
        <f>E61-E62+MAX(0,-E54)</f>
        <v/>
      </c>
      <c r="F64" s="25">
        <f>F61-F62+MAX(0,-F54)</f>
        <v/>
      </c>
      <c r="G64" s="25">
        <f>G61-G62+MAX(0,-G54)</f>
        <v/>
      </c>
      <c r="H64" s="25">
        <f>H61-H62+MAX(0,-H54)</f>
        <v/>
      </c>
      <c r="I64" s="25">
        <f>I61-I62+MAX(0,-I54)</f>
        <v/>
      </c>
      <c r="J64" s="25">
        <f>J61-J62+MAX(0,-J54)</f>
        <v/>
      </c>
      <c r="K64" s="25">
        <f>K61-K62+MAX(0,-K54)</f>
        <v/>
      </c>
    </row>
    <row r="65">
      <c r="A65" s="5" t="inlineStr">
        <is>
          <t>Spectrum payments</t>
        </is>
      </c>
      <c r="C65" s="26">
        <f>Scenarios!B76</f>
        <v/>
      </c>
      <c r="D65" s="26">
        <f>Scenarios!C76</f>
        <v/>
      </c>
      <c r="E65" s="26">
        <f>Scenarios!D76</f>
        <v/>
      </c>
      <c r="F65" s="26">
        <f>Scenarios!E76</f>
        <v/>
      </c>
      <c r="G65" s="26">
        <f>Scenarios!F76</f>
        <v/>
      </c>
      <c r="H65" s="26">
        <f>Scenarios!G76</f>
        <v/>
      </c>
      <c r="I65" s="26">
        <f>Scenarios!H76</f>
        <v/>
      </c>
      <c r="J65" s="26">
        <f>Scenarios!I76</f>
        <v/>
      </c>
      <c r="K65" s="26">
        <f>Scenarios!J76</f>
        <v/>
      </c>
    </row>
    <row r="66">
      <c r="A66" s="9" t="inlineStr">
        <is>
          <t>Unlevered free cash flow</t>
        </is>
      </c>
      <c r="C66" s="25">
        <f>C50-C63-C60-C65</f>
        <v/>
      </c>
      <c r="D66" s="25">
        <f>D50-D63-D60-D65</f>
        <v/>
      </c>
      <c r="E66" s="25">
        <f>E50-E63-E60-E65</f>
        <v/>
      </c>
      <c r="F66" s="25">
        <f>F50-F63-F60-F65</f>
        <v/>
      </c>
      <c r="G66" s="25">
        <f>G50-G63-G60-G65</f>
        <v/>
      </c>
      <c r="H66" s="25">
        <f>H50-H63-H60-H65</f>
        <v/>
      </c>
      <c r="I66" s="25">
        <f>I50-I63-I60-I65</f>
        <v/>
      </c>
      <c r="J66" s="25">
        <f>J50-J63-J60-J65</f>
        <v/>
      </c>
      <c r="K66" s="25">
        <f>K50-K63-K60-K65</f>
        <v/>
      </c>
    </row>
    <row r="67">
      <c r="A67" s="5" t="inlineStr">
        <is>
          <t>Discount period (years)</t>
        </is>
      </c>
      <c r="C67" s="27">
        <f>2027+0.5-Inputs!$C$21</f>
        <v/>
      </c>
      <c r="D67" s="27">
        <f>2028+0.5-Inputs!$C$21</f>
        <v/>
      </c>
      <c r="E67" s="27">
        <f>2029+0.5-Inputs!$C$21</f>
        <v/>
      </c>
      <c r="F67" s="27">
        <f>2030+0.5-Inputs!$C$21</f>
        <v/>
      </c>
      <c r="G67" s="27">
        <f>2031+0.5-Inputs!$C$21</f>
        <v/>
      </c>
      <c r="H67" s="27">
        <f>2032+0.5-Inputs!$C$21</f>
        <v/>
      </c>
      <c r="I67" s="27">
        <f>2033+0.5-Inputs!$C$21</f>
        <v/>
      </c>
      <c r="J67" s="27">
        <f>2034+0.5-Inputs!$C$21</f>
        <v/>
      </c>
      <c r="K67" s="27">
        <f>2035+0.5-Inputs!$C$21</f>
        <v/>
      </c>
    </row>
    <row r="68">
      <c r="A68" s="5" t="inlineStr">
        <is>
          <t>Discount factor</t>
        </is>
      </c>
      <c r="C68" s="28">
        <f>1/(1+Conviction!$C$4)^C67</f>
        <v/>
      </c>
      <c r="D68" s="28">
        <f>1/(1+Conviction!$C$4)^D67</f>
        <v/>
      </c>
      <c r="E68" s="28">
        <f>1/(1+Conviction!$C$4)^E67</f>
        <v/>
      </c>
      <c r="F68" s="28">
        <f>1/(1+Conviction!$C$4)^F67</f>
        <v/>
      </c>
      <c r="G68" s="28">
        <f>1/(1+Conviction!$C$4)^G67</f>
        <v/>
      </c>
      <c r="H68" s="28">
        <f>1/(1+Conviction!$C$4)^H67</f>
        <v/>
      </c>
      <c r="I68" s="28">
        <f>1/(1+Conviction!$C$4)^I67</f>
        <v/>
      </c>
      <c r="J68" s="28">
        <f>1/(1+Conviction!$C$4)^J67</f>
        <v/>
      </c>
      <c r="K68" s="28">
        <f>1/(1+Conviction!$C$4)^K67</f>
        <v/>
      </c>
    </row>
    <row r="69">
      <c r="A69" s="9" t="inlineStr">
        <is>
          <t>PV of unlevered FCF</t>
        </is>
      </c>
      <c r="C69" s="25">
        <f>C66*C68</f>
        <v/>
      </c>
      <c r="D69" s="25">
        <f>D66*D68</f>
        <v/>
      </c>
      <c r="E69" s="25">
        <f>E66*E68</f>
        <v/>
      </c>
      <c r="F69" s="25">
        <f>F66*F68</f>
        <v/>
      </c>
      <c r="G69" s="25">
        <f>G66*G68</f>
        <v/>
      </c>
      <c r="H69" s="25">
        <f>H66*H68</f>
        <v/>
      </c>
      <c r="I69" s="25">
        <f>I66*I68</f>
        <v/>
      </c>
      <c r="J69" s="25">
        <f>J66*J68</f>
        <v/>
      </c>
      <c r="K69" s="25">
        <f>K66*K68</f>
        <v/>
      </c>
    </row>
    <row r="71">
      <c r="A71" s="5" t="inlineStr">
        <is>
          <t>Normalized terminal FCF (2035)</t>
        </is>
      </c>
      <c r="C71" s="25">
        <f>K54*(1-Inputs!$C$42)+K53*(1-Inputs!$C$43)-Inputs!$C$44*K37*Inputs!$C$41</f>
        <v/>
      </c>
    </row>
    <row r="72">
      <c r="A72" s="5" t="inlineStr">
        <is>
          <t>Terminal value, exit multiple</t>
        </is>
      </c>
      <c r="C72" s="25">
        <f>K50*Conviction!$C$5</f>
        <v/>
      </c>
    </row>
    <row r="73">
      <c r="A73" s="5" t="inlineStr">
        <is>
          <t>Terminal value, perpetual growth (cross-check)</t>
        </is>
      </c>
      <c r="C73" s="25">
        <f>$C$71*(1+Inputs!$C$41)/(Conviction!$C$4-Inputs!$C$41)</f>
        <v/>
      </c>
    </row>
    <row r="74">
      <c r="A74" s="5" t="inlineStr">
        <is>
          <t>PV of 2027-2035 FCF + H2 2026 stub</t>
        </is>
      </c>
      <c r="C74" s="25">
        <f>SUM(C69:K69)+Inputs!$C$20</f>
        <v/>
      </c>
    </row>
    <row r="75">
      <c r="A75" s="5" t="inlineStr">
        <is>
          <t>PV of terminal value (exit multiple, end-2035 value)</t>
        </is>
      </c>
      <c r="C75" s="25">
        <f>$C$72/(1+Conviction!$C$4)^(K67+0.5)</f>
        <v/>
      </c>
    </row>
    <row r="76">
      <c r="A76" s="29" t="inlineStr">
        <is>
          <t>Enterprise value</t>
        </is>
      </c>
      <c r="C76" s="30">
        <f>$C$74+$C$75</f>
        <v/>
      </c>
    </row>
    <row r="77">
      <c r="A77" s="5" t="inlineStr">
        <is>
          <t>Equity value</t>
        </is>
      </c>
      <c r="C77" s="25">
        <f>$C$76+Inputs!$C$17</f>
        <v/>
      </c>
    </row>
    <row r="78">
      <c r="A78" s="5" t="inlineStr">
        <is>
          <t>DCF value per share ($)</t>
        </is>
      </c>
      <c r="C78" s="11">
        <f>MAX(0,$C$77*1000/Inputs!$C$12)</f>
        <v/>
      </c>
    </row>
    <row r="79">
      <c r="A79" s="5" t="inlineStr">
        <is>
          <t>Strategic floor per share ($)</t>
        </is>
      </c>
      <c r="C79" s="18" t="n">
        <v>0</v>
      </c>
    </row>
    <row r="80">
      <c r="A80" s="29" t="inlineStr">
        <is>
          <t>Value per share ($)</t>
        </is>
      </c>
      <c r="C80" s="31">
        <f>MAX($C$78,$C$79)</f>
        <v/>
      </c>
    </row>
    <row r="81">
      <c r="A81" s="5" t="inlineStr">
        <is>
          <t>Cross-check: value per share at perpetual growth ($)</t>
        </is>
      </c>
      <c r="C81" s="11">
        <f>MAX(0,($C$74+$C$73*K68+Inputs!$C$17)*1000/Inputs!$C$12)</f>
        <v/>
      </c>
    </row>
    <row r="82">
      <c r="A82" s="5" t="inlineStr">
        <is>
          <t>Perpetual growth implied by the exit multiple</t>
        </is>
      </c>
      <c r="C82" s="8">
        <f>($C$72*Conviction!$C$4-$C$71)/($C$72+$C$71)</f>
        <v/>
      </c>
    </row>
    <row r="83">
      <c r="A83" s="5" t="inlineStr">
        <is>
          <t>Value per share excl. Musk unvested shares ($)</t>
        </is>
      </c>
      <c r="C83" s="11">
        <f>MAX(0,$C$77*1000/Inputs!$C$13)</f>
        <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C51"/>
  <sheetViews>
    <sheetView showGridLines="0" workbookViewId="0">
      <selection activeCell="A1" sqref="A1"/>
    </sheetView>
  </sheetViews>
  <sheetFormatPr baseColWidth="8" defaultRowHeight="15"/>
  <cols>
    <col width="52" customWidth="1" min="1" max="1"/>
    <col width="14" customWidth="1" min="3" max="3"/>
  </cols>
  <sheetData>
    <row r="1">
      <c r="A1" s="1" t="inlineStr">
        <is>
          <t>SpaceX (SPCX) — inputs</t>
        </is>
      </c>
    </row>
    <row r="2">
      <c r="A2" s="2" t="inlineStr">
        <is>
          <t>Blue = hardcoded input (change these). Black = formula. Green = link from another sheet. Yellow = key judgment call. USD billions; shares in millions.</t>
        </is>
      </c>
    </row>
    <row r="3">
      <c r="A3" s="32" t="inlineStr">
        <is>
          <t>Market and share count</t>
        </is>
      </c>
      <c r="C3" s="33" t="n"/>
    </row>
    <row r="4">
      <c r="A4" s="5" t="inlineStr">
        <is>
          <t>Share price ($)</t>
        </is>
      </c>
      <c r="C4" s="18" t="n">
        <v>143.48</v>
      </c>
    </row>
    <row r="5">
      <c r="A5" s="5" t="inlineStr">
        <is>
          <t>Basic shares outstanding, all classes (mm)</t>
        </is>
      </c>
      <c r="C5" s="34" t="n">
        <v>13571.07</v>
      </c>
    </row>
    <row r="6">
      <c r="A6" s="5" t="inlineStr">
        <is>
          <t>Stock options outstanding (mm)</t>
        </is>
      </c>
      <c r="C6" s="34" t="n">
        <v>472</v>
      </c>
    </row>
    <row r="7">
      <c r="A7" s="5" t="inlineStr">
        <is>
          <t>Option exercise proceeds ($bn)</t>
        </is>
      </c>
      <c r="C7" s="35" t="n">
        <v>6.212</v>
      </c>
    </row>
    <row r="8">
      <c r="A8" s="5" t="inlineStr">
        <is>
          <t>RSUs outstanding (mm)</t>
        </is>
      </c>
      <c r="C8" s="34" t="n">
        <v>122</v>
      </c>
    </row>
    <row r="9">
      <c r="A9" s="5" t="inlineStr">
        <is>
          <t>Cursor awards assumed (mm)</t>
        </is>
      </c>
      <c r="C9" s="34" t="n">
        <v>73.48999999999999</v>
      </c>
    </row>
    <row r="10">
      <c r="A10" s="5" t="inlineStr">
        <is>
          <t>EchoStar spectrum shares owed at closing (mm)</t>
        </is>
      </c>
      <c r="C10" s="34" t="n">
        <v>261.8</v>
      </c>
    </row>
    <row r="11">
      <c r="A11" s="5" t="inlineStr">
        <is>
          <t>Musk unvested restricted Class B (mm)</t>
        </is>
      </c>
      <c r="C11" s="34" t="n">
        <v>1302.07</v>
      </c>
    </row>
    <row r="12">
      <c r="A12" s="5" t="inlineStr">
        <is>
          <t>Diluted shares, primary (mm)</t>
        </is>
      </c>
      <c r="C12" s="36">
        <f>C5+C6+C8+C9+C10</f>
        <v/>
      </c>
    </row>
    <row r="13">
      <c r="A13" s="5" t="inlineStr">
        <is>
          <t>Diluted shares excluding Musk unvested (mm)</t>
        </is>
      </c>
      <c r="C13" s="36">
        <f>C12-C11</f>
        <v/>
      </c>
    </row>
    <row r="14">
      <c r="A14" s="5" t="inlineStr">
        <is>
          <t>Cash + marketable securities ($bn)</t>
        </is>
      </c>
      <c r="C14" s="35" t="n">
        <v>100.009</v>
      </c>
    </row>
    <row r="15">
      <c r="A15" s="5" t="inlineStr">
        <is>
          <t>Digital assets ($bn)</t>
        </is>
      </c>
      <c r="C15" s="35" t="n">
        <v>1.098</v>
      </c>
    </row>
    <row r="16">
      <c r="A16" s="5" t="inlineStr">
        <is>
          <t>Debt + finance leases ($bn)</t>
        </is>
      </c>
      <c r="C16" s="35" t="n">
        <v>39.512</v>
      </c>
    </row>
    <row r="17">
      <c r="A17" s="5" t="inlineStr">
        <is>
          <t>Net cash incl. option proceeds ($bn)</t>
        </is>
      </c>
      <c r="C17" s="25">
        <f>C14+C15-C16+C7</f>
        <v/>
      </c>
    </row>
    <row r="18">
      <c r="A18" s="5" t="inlineStr">
        <is>
          <t>Market capitalization, basic ($bn)</t>
        </is>
      </c>
      <c r="C18" s="25">
        <f>C4*C5/1000</f>
        <v/>
      </c>
    </row>
    <row r="19">
      <c r="A19" s="5" t="inlineStr">
        <is>
          <t>Enterprise value, basic ($bn)</t>
        </is>
      </c>
      <c r="C19" s="25">
        <f>C18-(C14+C15-C16)</f>
        <v/>
      </c>
    </row>
    <row r="20">
      <c r="A20" s="5" t="inlineStr">
        <is>
          <t>H2 2026 unlevered FCF, estimate ($bn)</t>
        </is>
      </c>
      <c r="C20" s="35" t="n">
        <v>-26</v>
      </c>
    </row>
    <row r="21">
      <c r="A21" s="5" t="inlineStr">
        <is>
          <t>Valuation date (decimal year)</t>
        </is>
      </c>
      <c r="C21" s="37" t="n">
        <v>2026.79</v>
      </c>
    </row>
    <row r="22">
      <c r="A22" s="5" t="inlineStr">
        <is>
          <t>Starlink subscribers, end-2026 (mm)</t>
        </is>
      </c>
      <c r="C22" s="38" t="n">
        <v>15.8</v>
      </c>
    </row>
    <row r="23">
      <c r="A23" s="5" t="inlineStr">
        <is>
          <t>AI compute, end-2026 (GW nameplate)</t>
        </is>
      </c>
      <c r="C23" s="38" t="n">
        <v>2</v>
      </c>
    </row>
    <row r="24">
      <c r="A24" s="32" t="inlineStr">
        <is>
          <t>Operating constants</t>
        </is>
      </c>
      <c r="C24" s="33" t="n"/>
    </row>
    <row r="25">
      <c r="A25" s="5" t="inlineStr">
        <is>
          <t>Kits revenue, % of consumer service revenue</t>
        </is>
      </c>
      <c r="C25" s="14" t="n">
        <v>0.1</v>
      </c>
    </row>
    <row r="26">
      <c r="A26" s="5" t="inlineStr">
        <is>
          <t>Connectivity + Space D&amp;A, % of their revenue</t>
        </is>
      </c>
      <c r="C26" s="14" t="n">
        <v>0.18</v>
      </c>
    </row>
    <row r="27">
      <c r="A27" s="5" t="inlineStr">
        <is>
          <t>AI fleet useful life (years)</t>
        </is>
      </c>
      <c r="C27" s="38" t="n">
        <v>5.5</v>
      </c>
    </row>
    <row r="28">
      <c r="A28" s="5" t="inlineStr">
        <is>
          <t>Usable net operating losses at end-2026 ($bn)</t>
        </is>
      </c>
      <c r="C28" s="35" t="n">
        <v>45</v>
      </c>
    </row>
    <row r="29">
      <c r="A29" s="5" t="inlineStr">
        <is>
          <t>Cash tax rate once losses are used</t>
        </is>
      </c>
      <c r="C29" s="14" t="n">
        <v>0.15</v>
      </c>
    </row>
    <row r="30">
      <c r="A30" s="32" t="inlineStr">
        <is>
          <t>Discount rate</t>
        </is>
      </c>
      <c r="C30" s="33" t="n"/>
    </row>
    <row r="31">
      <c r="A31" s="5" t="inlineStr">
        <is>
          <t>Risk-free rate</t>
        </is>
      </c>
      <c r="C31" s="14" t="n">
        <v>0.052</v>
      </c>
    </row>
    <row r="32">
      <c r="A32" s="5" t="inlineStr">
        <is>
          <t>Beta (peer-based)</t>
        </is>
      </c>
      <c r="C32" s="39" t="n">
        <v>1.6</v>
      </c>
    </row>
    <row r="33">
      <c r="A33" s="5" t="inlineStr">
        <is>
          <t>Equity risk premium</t>
        </is>
      </c>
      <c r="C33" s="14" t="n">
        <v>0.05</v>
      </c>
    </row>
    <row r="34">
      <c r="A34" s="5" t="inlineStr">
        <is>
          <t>Cost of equity</t>
        </is>
      </c>
      <c r="C34" s="8">
        <f>C31+C32*C33</f>
        <v/>
      </c>
    </row>
    <row r="35">
      <c r="A35" s="5" t="inlineStr">
        <is>
          <t>Pre-tax cost of debt</t>
        </is>
      </c>
      <c r="C35" s="14" t="n">
        <v>0.06</v>
      </c>
    </row>
    <row r="36">
      <c r="A36" s="5" t="inlineStr">
        <is>
          <t>Equity weight</t>
        </is>
      </c>
      <c r="C36" s="8">
        <f>C18/(C18+C16)</f>
        <v/>
      </c>
    </row>
    <row r="37">
      <c r="A37" s="5" t="inlineStr">
        <is>
          <t>WACC (computed)</t>
        </is>
      </c>
      <c r="C37" s="8">
        <f>C36*C34+(1-C36)*C35</f>
        <v/>
      </c>
    </row>
    <row r="38">
      <c r="A38" s="5" t="inlineStr">
        <is>
          <t>WACC used</t>
        </is>
      </c>
      <c r="C38" s="40">
        <f>ROUND(C37,3)</f>
        <v/>
      </c>
    </row>
    <row r="39">
      <c r="A39" s="32" t="inlineStr">
        <is>
          <t>Terminal value</t>
        </is>
      </c>
      <c r="C39" s="33" t="n"/>
    </row>
    <row r="40">
      <c r="A40" s="5" t="inlineStr">
        <is>
          <t>Exit multiple, EV/EBITDA after stock comp (2035)</t>
        </is>
      </c>
      <c r="C40" s="20" t="n">
        <v>13</v>
      </c>
    </row>
    <row r="41">
      <c r="A41" s="5" t="inlineStr">
        <is>
          <t>Perpetual growth (cross-check)</t>
        </is>
      </c>
      <c r="C41" s="14" t="n">
        <v>0.03</v>
      </c>
    </row>
    <row r="42">
      <c r="A42" s="5" t="inlineStr">
        <is>
          <t>Terminal tax rate</t>
        </is>
      </c>
      <c r="C42" s="14" t="n">
        <v>0.21</v>
      </c>
    </row>
    <row r="43">
      <c r="A43" s="5" t="inlineStr">
        <is>
          <t>Terminal capex / D&amp;A</t>
        </is>
      </c>
      <c r="C43" s="17" t="n">
        <v>1.1</v>
      </c>
    </row>
    <row r="44">
      <c r="A44" s="5" t="inlineStr">
        <is>
          <t>Net working capital, % of revenue change</t>
        </is>
      </c>
      <c r="C44" s="14" t="n">
        <v>0</v>
      </c>
    </row>
    <row r="45">
      <c r="A45" s="32" t="inlineStr">
        <is>
          <t>Scenario weights</t>
        </is>
      </c>
      <c r="C45" s="33" t="n"/>
    </row>
    <row r="46">
      <c r="A46" s="5" t="inlineStr">
        <is>
          <t>Bear probability</t>
        </is>
      </c>
      <c r="C46" s="19" t="n">
        <v>0.25</v>
      </c>
    </row>
    <row r="47">
      <c r="A47" s="5" t="inlineStr">
        <is>
          <t>Base probability</t>
        </is>
      </c>
      <c r="C47" s="19" t="n">
        <v>0.45</v>
      </c>
    </row>
    <row r="48">
      <c r="A48" s="5" t="inlineStr">
        <is>
          <t>Bull probability</t>
        </is>
      </c>
      <c r="C48" s="19" t="n">
        <v>0.22</v>
      </c>
    </row>
    <row r="49">
      <c r="A49" s="5" t="inlineStr">
        <is>
          <t>Right tail probability</t>
        </is>
      </c>
      <c r="C49" s="19" t="n">
        <v>0.08</v>
      </c>
    </row>
    <row r="50">
      <c r="A50" s="5" t="inlineStr">
        <is>
          <t>Bullish premium over cost of equity (per year)</t>
        </is>
      </c>
      <c r="C50" s="14" t="n">
        <v>0.02</v>
      </c>
    </row>
    <row r="51">
      <c r="A51" s="5" t="inlineStr">
        <is>
          <t>Horizon for the call (years, longest of 3-5)</t>
        </is>
      </c>
      <c r="C51" s="41" t="n">
        <v>5</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104"/>
  <sheetViews>
    <sheetView showGridLines="0" workbookViewId="0">
      <selection activeCell="A1" sqref="A1"/>
    </sheetView>
  </sheetViews>
  <sheetFormatPr baseColWidth="8" defaultRowHeight="15"/>
  <cols>
    <col width="4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s>
  <sheetData>
    <row r="1">
      <c r="A1" s="1" t="inlineStr">
        <is>
          <t>Scenario drivers, 2027-2035 (author estimates)</t>
        </is>
      </c>
    </row>
    <row r="2">
      <c r="A2" s="2" t="inlineStr">
        <is>
          <t>Edit the blue cells. Each block feeds the matching block on the Model sheet.</t>
        </is>
      </c>
    </row>
    <row r="4">
      <c r="A4" s="9" t="inlineStr">
        <is>
          <t>Bear case</t>
        </is>
      </c>
    </row>
    <row r="5">
      <c r="A5" s="2" t="inlineStr">
        <is>
          <t>AI compute turns into a glut. Customers use their 90-day exits or renew at much lower prices, so rented capacity and revenue per watt both fall, and SpaceX stops adding compute after 2027 and lets the fleet run down rather than replace GPUs at a loss. Starlink keeps growing but slower, with ARPU sliding as growth comes from cheaper markets, Starlink Mobile stays a revenue-share sideline, and Starship reuse slips, keeping R&amp;D high.</t>
        </is>
      </c>
    </row>
    <row r="6">
      <c r="A6" s="3" t="inlineStr">
        <is>
          <t>Driver</t>
        </is>
      </c>
      <c r="B6" s="4" t="inlineStr">
        <is>
          <t>2027</t>
        </is>
      </c>
      <c r="C6" s="4" t="inlineStr">
        <is>
          <t>2028</t>
        </is>
      </c>
      <c r="D6" s="4" t="inlineStr">
        <is>
          <t>2029</t>
        </is>
      </c>
      <c r="E6" s="4" t="inlineStr">
        <is>
          <t>2030</t>
        </is>
      </c>
      <c r="F6" s="4" t="inlineStr">
        <is>
          <t>2031</t>
        </is>
      </c>
      <c r="G6" s="4" t="inlineStr">
        <is>
          <t>2032</t>
        </is>
      </c>
      <c r="H6" s="4" t="inlineStr">
        <is>
          <t>2033</t>
        </is>
      </c>
      <c r="I6" s="4" t="inlineStr">
        <is>
          <t>2034</t>
        </is>
      </c>
      <c r="J6" s="4" t="inlineStr">
        <is>
          <t>2035</t>
        </is>
      </c>
    </row>
    <row r="7">
      <c r="A7" s="5" t="inlineStr">
        <is>
          <t>Starlink subscribers, year end (mm)</t>
        </is>
      </c>
      <c r="B7" s="38" t="n">
        <v>19</v>
      </c>
      <c r="C7" s="38" t="n">
        <v>22.5</v>
      </c>
      <c r="D7" s="38" t="n">
        <v>25.5</v>
      </c>
      <c r="E7" s="38" t="n">
        <v>28</v>
      </c>
      <c r="F7" s="38" t="n">
        <v>30</v>
      </c>
      <c r="G7" s="38" t="n">
        <v>32</v>
      </c>
      <c r="H7" s="38" t="n">
        <v>33.5</v>
      </c>
      <c r="I7" s="38" t="n">
        <v>35</v>
      </c>
      <c r="J7" s="38" t="n">
        <v>36</v>
      </c>
    </row>
    <row r="8">
      <c r="A8" s="5" t="inlineStr">
        <is>
          <t>Starlink ARPU ($ / month)</t>
        </is>
      </c>
      <c r="B8" s="38" t="n">
        <v>60</v>
      </c>
      <c r="C8" s="38" t="n">
        <v>56</v>
      </c>
      <c r="D8" s="38" t="n">
        <v>53</v>
      </c>
      <c r="E8" s="38" t="n">
        <v>50</v>
      </c>
      <c r="F8" s="38" t="n">
        <v>48</v>
      </c>
      <c r="G8" s="38" t="n">
        <v>47</v>
      </c>
      <c r="H8" s="38" t="n">
        <v>46</v>
      </c>
      <c r="I8" s="38" t="n">
        <v>45</v>
      </c>
      <c r="J8" s="38" t="n">
        <v>45</v>
      </c>
    </row>
    <row r="9">
      <c r="A9" s="5" t="inlineStr">
        <is>
          <t>Enterprise &amp; government revenue ($bn)</t>
        </is>
      </c>
      <c r="B9" s="35" t="n">
        <v>9.5</v>
      </c>
      <c r="C9" s="35" t="n">
        <v>11</v>
      </c>
      <c r="D9" s="35" t="n">
        <v>12.5</v>
      </c>
      <c r="E9" s="35" t="n">
        <v>14</v>
      </c>
      <c r="F9" s="35" t="n">
        <v>15</v>
      </c>
      <c r="G9" s="35" t="n">
        <v>16</v>
      </c>
      <c r="H9" s="35" t="n">
        <v>17</v>
      </c>
      <c r="I9" s="35" t="n">
        <v>18</v>
      </c>
      <c r="J9" s="35" t="n">
        <v>19</v>
      </c>
    </row>
    <row r="10">
      <c r="A10" s="5" t="inlineStr">
        <is>
          <t>Starlink Mobile revenue ($bn)</t>
        </is>
      </c>
      <c r="B10" s="35" t="n">
        <v>0.5</v>
      </c>
      <c r="C10" s="35" t="n">
        <v>1</v>
      </c>
      <c r="D10" s="35" t="n">
        <v>1.5</v>
      </c>
      <c r="E10" s="35" t="n">
        <v>2</v>
      </c>
      <c r="F10" s="35" t="n">
        <v>2.5</v>
      </c>
      <c r="G10" s="35" t="n">
        <v>3</v>
      </c>
      <c r="H10" s="35" t="n">
        <v>3.3</v>
      </c>
      <c r="I10" s="35" t="n">
        <v>3.6</v>
      </c>
      <c r="J10" s="35" t="n">
        <v>4</v>
      </c>
    </row>
    <row r="11">
      <c r="A11" s="5" t="inlineStr">
        <is>
          <t>Connectivity adj. EBITDA margin</t>
        </is>
      </c>
      <c r="B11" s="14" t="n">
        <v>0.58</v>
      </c>
      <c r="C11" s="14" t="n">
        <v>0.58</v>
      </c>
      <c r="D11" s="14" t="n">
        <v>0.58</v>
      </c>
      <c r="E11" s="14" t="n">
        <v>0.58</v>
      </c>
      <c r="F11" s="14" t="n">
        <v>0.58</v>
      </c>
      <c r="G11" s="14" t="n">
        <v>0.58</v>
      </c>
      <c r="H11" s="14" t="n">
        <v>0.58</v>
      </c>
      <c r="I11" s="14" t="n">
        <v>0.58</v>
      </c>
      <c r="J11" s="14" t="n">
        <v>0.58</v>
      </c>
    </row>
    <row r="12">
      <c r="A12" s="5" t="inlineStr">
        <is>
          <t>Connectivity capex, % of revenue</t>
        </is>
      </c>
      <c r="B12" s="14" t="n">
        <v>0.34</v>
      </c>
      <c r="C12" s="14" t="n">
        <v>0.32</v>
      </c>
      <c r="D12" s="14" t="n">
        <v>0.3</v>
      </c>
      <c r="E12" s="14" t="n">
        <v>0.28</v>
      </c>
      <c r="F12" s="14" t="n">
        <v>0.26</v>
      </c>
      <c r="G12" s="14" t="n">
        <v>0.25</v>
      </c>
      <c r="H12" s="14" t="n">
        <v>0.24</v>
      </c>
      <c r="I12" s="14" t="n">
        <v>0.23</v>
      </c>
      <c r="J12" s="14" t="n">
        <v>0.23</v>
      </c>
    </row>
    <row r="13">
      <c r="A13" s="5" t="inlineStr">
        <is>
          <t>Space revenue ($bn)</t>
        </is>
      </c>
      <c r="B13" s="35" t="n">
        <v>4.5</v>
      </c>
      <c r="C13" s="35" t="n">
        <v>5</v>
      </c>
      <c r="D13" s="35" t="n">
        <v>5.5</v>
      </c>
      <c r="E13" s="35" t="n">
        <v>6</v>
      </c>
      <c r="F13" s="35" t="n">
        <v>6.5</v>
      </c>
      <c r="G13" s="35" t="n">
        <v>7</v>
      </c>
      <c r="H13" s="35" t="n">
        <v>7.5</v>
      </c>
      <c r="I13" s="35" t="n">
        <v>8</v>
      </c>
      <c r="J13" s="35" t="n">
        <v>8.5</v>
      </c>
    </row>
    <row r="14">
      <c r="A14" s="5" t="inlineStr">
        <is>
          <t>Space margin before Starship R&amp;D</t>
        </is>
      </c>
      <c r="B14" s="14" t="n">
        <v>0.5</v>
      </c>
      <c r="C14" s="14" t="n">
        <v>0.5</v>
      </c>
      <c r="D14" s="14" t="n">
        <v>0.5</v>
      </c>
      <c r="E14" s="14" t="n">
        <v>0.5</v>
      </c>
      <c r="F14" s="14" t="n">
        <v>0.5</v>
      </c>
      <c r="G14" s="14" t="n">
        <v>0.5</v>
      </c>
      <c r="H14" s="14" t="n">
        <v>0.5</v>
      </c>
      <c r="I14" s="14" t="n">
        <v>0.5</v>
      </c>
      <c r="J14" s="14" t="n">
        <v>0.5</v>
      </c>
    </row>
    <row r="15">
      <c r="A15" s="5" t="inlineStr">
        <is>
          <t>Starship R&amp;D ($bn)</t>
        </is>
      </c>
      <c r="B15" s="35" t="n">
        <v>5</v>
      </c>
      <c r="C15" s="35" t="n">
        <v>5</v>
      </c>
      <c r="D15" s="35" t="n">
        <v>4.5</v>
      </c>
      <c r="E15" s="35" t="n">
        <v>4.5</v>
      </c>
      <c r="F15" s="35" t="n">
        <v>4</v>
      </c>
      <c r="G15" s="35" t="n">
        <v>4</v>
      </c>
      <c r="H15" s="35" t="n">
        <v>3.5</v>
      </c>
      <c r="I15" s="35" t="n">
        <v>3.5</v>
      </c>
      <c r="J15" s="35" t="n">
        <v>3.5</v>
      </c>
    </row>
    <row r="16">
      <c r="A16" s="5" t="inlineStr">
        <is>
          <t>Space capex ($bn)</t>
        </is>
      </c>
      <c r="B16" s="35" t="n">
        <v>4.5</v>
      </c>
      <c r="C16" s="35" t="n">
        <v>4.5</v>
      </c>
      <c r="D16" s="35" t="n">
        <v>4.5</v>
      </c>
      <c r="E16" s="35" t="n">
        <v>4.5</v>
      </c>
      <c r="F16" s="35" t="n">
        <v>4.5</v>
      </c>
      <c r="G16" s="35" t="n">
        <v>5</v>
      </c>
      <c r="H16" s="35" t="n">
        <v>5</v>
      </c>
      <c r="I16" s="35" t="n">
        <v>5.5</v>
      </c>
      <c r="J16" s="35" t="n">
        <v>5.5</v>
      </c>
    </row>
    <row r="17">
      <c r="A17" s="5" t="inlineStr">
        <is>
          <t>AI compute, year end (GW nameplate)</t>
        </is>
      </c>
      <c r="B17" s="38" t="n">
        <v>3</v>
      </c>
      <c r="C17" s="38" t="n">
        <v>3</v>
      </c>
      <c r="D17" s="38" t="n">
        <v>2.8</v>
      </c>
      <c r="E17" s="38" t="n">
        <v>2.5</v>
      </c>
      <c r="F17" s="38" t="n">
        <v>2.2</v>
      </c>
      <c r="G17" s="38" t="n">
        <v>2</v>
      </c>
      <c r="H17" s="38" t="n">
        <v>1.8</v>
      </c>
      <c r="I17" s="38" t="n">
        <v>1.6</v>
      </c>
      <c r="J17" s="38" t="n">
        <v>1.5</v>
      </c>
    </row>
    <row r="18">
      <c r="A18" s="5" t="inlineStr">
        <is>
          <t>Share of compute rented to customers</t>
        </is>
      </c>
      <c r="B18" s="14" t="n">
        <v>0.7</v>
      </c>
      <c r="C18" s="14" t="n">
        <v>0.62</v>
      </c>
      <c r="D18" s="14" t="n">
        <v>0.6</v>
      </c>
      <c r="E18" s="14" t="n">
        <v>0.6</v>
      </c>
      <c r="F18" s="14" t="n">
        <v>0.6</v>
      </c>
      <c r="G18" s="14" t="n">
        <v>0.6</v>
      </c>
      <c r="H18" s="14" t="n">
        <v>0.6</v>
      </c>
      <c r="I18" s="14" t="n">
        <v>0.6</v>
      </c>
      <c r="J18" s="14" t="n">
        <v>0.6</v>
      </c>
    </row>
    <row r="19">
      <c r="A19" s="5" t="inlineStr">
        <is>
          <t>Cloud revenue per watt-year ($)</t>
        </is>
      </c>
      <c r="B19" s="38" t="n">
        <v>30</v>
      </c>
      <c r="C19" s="38" t="n">
        <v>22</v>
      </c>
      <c r="D19" s="38" t="n">
        <v>18</v>
      </c>
      <c r="E19" s="38" t="n">
        <v>16</v>
      </c>
      <c r="F19" s="38" t="n">
        <v>15</v>
      </c>
      <c r="G19" s="38" t="n">
        <v>14</v>
      </c>
      <c r="H19" s="38" t="n">
        <v>14</v>
      </c>
      <c r="I19" s="38" t="n">
        <v>14</v>
      </c>
      <c r="J19" s="38" t="n">
        <v>14</v>
      </c>
    </row>
    <row r="20">
      <c r="A20" s="5" t="inlineStr">
        <is>
          <t>Cloud adj. EBITDA margin</t>
        </is>
      </c>
      <c r="B20" s="14" t="n">
        <v>0.6</v>
      </c>
      <c r="C20" s="14" t="n">
        <v>0.55</v>
      </c>
      <c r="D20" s="14" t="n">
        <v>0.5</v>
      </c>
      <c r="E20" s="14" t="n">
        <v>0.48</v>
      </c>
      <c r="F20" s="14" t="n">
        <v>0.47</v>
      </c>
      <c r="G20" s="14" t="n">
        <v>0.46</v>
      </c>
      <c r="H20" s="14" t="n">
        <v>0.45</v>
      </c>
      <c r="I20" s="14" t="n">
        <v>0.45</v>
      </c>
      <c r="J20" s="14" t="n">
        <v>0.45</v>
      </c>
    </row>
    <row r="21">
      <c r="A21" s="5" t="inlineStr">
        <is>
          <t>AI capex per watt ($)</t>
        </is>
      </c>
      <c r="B21" s="38" t="n">
        <v>38</v>
      </c>
      <c r="C21" s="38" t="n">
        <v>33</v>
      </c>
      <c r="D21" s="38" t="n">
        <v>30</v>
      </c>
      <c r="E21" s="38" t="n">
        <v>28</v>
      </c>
      <c r="F21" s="38" t="n">
        <v>26</v>
      </c>
      <c r="G21" s="38" t="n">
        <v>25</v>
      </c>
      <c r="H21" s="38" t="n">
        <v>24</v>
      </c>
      <c r="I21" s="38" t="n">
        <v>23</v>
      </c>
      <c r="J21" s="38" t="n">
        <v>23</v>
      </c>
    </row>
    <row r="22">
      <c r="A22" s="5" t="inlineStr">
        <is>
          <t>Grok / X / Cursor revenue ($bn)</t>
        </is>
      </c>
      <c r="B22" s="35" t="n">
        <v>6</v>
      </c>
      <c r="C22" s="35" t="n">
        <v>7</v>
      </c>
      <c r="D22" s="35" t="n">
        <v>8</v>
      </c>
      <c r="E22" s="35" t="n">
        <v>9</v>
      </c>
      <c r="F22" s="35" t="n">
        <v>10</v>
      </c>
      <c r="G22" s="35" t="n">
        <v>11</v>
      </c>
      <c r="H22" s="35" t="n">
        <v>12</v>
      </c>
      <c r="I22" s="35" t="n">
        <v>13</v>
      </c>
      <c r="J22" s="35" t="n">
        <v>14</v>
      </c>
    </row>
    <row r="23">
      <c r="A23" s="5" t="inlineStr">
        <is>
          <t>Apps and ads adj. EBITDA margin</t>
        </is>
      </c>
      <c r="B23" s="14" t="n">
        <v>0.05</v>
      </c>
      <c r="C23" s="14" t="n">
        <v>0.08</v>
      </c>
      <c r="D23" s="14" t="n">
        <v>0.1</v>
      </c>
      <c r="E23" s="14" t="n">
        <v>0.12</v>
      </c>
      <c r="F23" s="14" t="n">
        <v>0.14</v>
      </c>
      <c r="G23" s="14" t="n">
        <v>0.15</v>
      </c>
      <c r="H23" s="14" t="n">
        <v>0.16</v>
      </c>
      <c r="I23" s="14" t="n">
        <v>0.17</v>
      </c>
      <c r="J23" s="14" t="n">
        <v>0.18</v>
      </c>
    </row>
    <row r="24">
      <c r="A24" s="5" t="inlineStr">
        <is>
          <t>Frontier-model R&amp;D ($bn)</t>
        </is>
      </c>
      <c r="B24" s="35" t="n">
        <v>7</v>
      </c>
      <c r="C24" s="35" t="n">
        <v>7</v>
      </c>
      <c r="D24" s="35" t="n">
        <v>6</v>
      </c>
      <c r="E24" s="35" t="n">
        <v>5</v>
      </c>
      <c r="F24" s="35" t="n">
        <v>5</v>
      </c>
      <c r="G24" s="35" t="n">
        <v>4</v>
      </c>
      <c r="H24" s="35" t="n">
        <v>4</v>
      </c>
      <c r="I24" s="35" t="n">
        <v>4</v>
      </c>
      <c r="J24" s="35" t="n">
        <v>4</v>
      </c>
    </row>
    <row r="25">
      <c r="A25" s="5" t="inlineStr">
        <is>
          <t>Stock comp, % of revenue</t>
        </is>
      </c>
      <c r="B25" s="14" t="n">
        <v>0.06</v>
      </c>
      <c r="C25" s="14" t="n">
        <v>0.05</v>
      </c>
      <c r="D25" s="14" t="n">
        <v>0.045</v>
      </c>
      <c r="E25" s="14" t="n">
        <v>0.04</v>
      </c>
      <c r="F25" s="14" t="n">
        <v>0.035</v>
      </c>
      <c r="G25" s="14" t="n">
        <v>0.03</v>
      </c>
      <c r="H25" s="14" t="n">
        <v>0.03</v>
      </c>
      <c r="I25" s="14" t="n">
        <v>0.03</v>
      </c>
      <c r="J25" s="14" t="n">
        <v>0.03</v>
      </c>
    </row>
    <row r="26">
      <c r="A26" s="5" t="inlineStr">
        <is>
          <t>Spectrum payments ($bn)</t>
        </is>
      </c>
      <c r="B26" s="35" t="n">
        <v>17.3</v>
      </c>
      <c r="C26" s="35" t="n">
        <v>0</v>
      </c>
      <c r="D26" s="35" t="n">
        <v>0</v>
      </c>
      <c r="E26" s="35" t="n">
        <v>0</v>
      </c>
      <c r="F26" s="35" t="n">
        <v>0</v>
      </c>
      <c r="G26" s="35" t="n">
        <v>0</v>
      </c>
      <c r="H26" s="35" t="n">
        <v>0</v>
      </c>
      <c r="I26" s="35" t="n">
        <v>0</v>
      </c>
      <c r="J26" s="35" t="n">
        <v>0</v>
      </c>
    </row>
    <row r="29">
      <c r="A29" s="9" t="inlineStr">
        <is>
          <t>Base case</t>
        </is>
      </c>
    </row>
    <row r="30">
      <c r="A30" s="2" t="inlineStr">
        <is>
          <t>Starlink adds about 4 to 5 million subscribers a year as V3 satellites lift capacity, with ARPU drifting to the low $50s, and enterprise, government and Starlink Mobile grow into businesses as large as consumer. AI compute reaches about 9 GW by 2030, well short of management's 10 GW by 2027, rented at prices that fall from about $34 to $18 per watt-year as newer chips arrive. Starship becomes operational for Starlink in 2027 to 2028. Revenue passes $200B by 2030, but the GPU fleet must be replaced every five to six years, so free cash flow stays modest.</t>
        </is>
      </c>
    </row>
    <row r="31">
      <c r="A31" s="3" t="inlineStr">
        <is>
          <t>Driver</t>
        </is>
      </c>
      <c r="B31" s="4" t="inlineStr">
        <is>
          <t>2027</t>
        </is>
      </c>
      <c r="C31" s="4" t="inlineStr">
        <is>
          <t>2028</t>
        </is>
      </c>
      <c r="D31" s="4" t="inlineStr">
        <is>
          <t>2029</t>
        </is>
      </c>
      <c r="E31" s="4" t="inlineStr">
        <is>
          <t>2030</t>
        </is>
      </c>
      <c r="F31" s="4" t="inlineStr">
        <is>
          <t>2031</t>
        </is>
      </c>
      <c r="G31" s="4" t="inlineStr">
        <is>
          <t>2032</t>
        </is>
      </c>
      <c r="H31" s="4" t="inlineStr">
        <is>
          <t>2033</t>
        </is>
      </c>
      <c r="I31" s="4" t="inlineStr">
        <is>
          <t>2034</t>
        </is>
      </c>
      <c r="J31" s="4" t="inlineStr">
        <is>
          <t>2035</t>
        </is>
      </c>
    </row>
    <row r="32">
      <c r="A32" s="5" t="inlineStr">
        <is>
          <t>Starlink subscribers, year end (mm)</t>
        </is>
      </c>
      <c r="B32" s="38" t="n">
        <v>21</v>
      </c>
      <c r="C32" s="38" t="n">
        <v>26</v>
      </c>
      <c r="D32" s="38" t="n">
        <v>31</v>
      </c>
      <c r="E32" s="38" t="n">
        <v>35.5</v>
      </c>
      <c r="F32" s="38" t="n">
        <v>39.5</v>
      </c>
      <c r="G32" s="38" t="n">
        <v>43</v>
      </c>
      <c r="H32" s="38" t="n">
        <v>46</v>
      </c>
      <c r="I32" s="38" t="n">
        <v>49</v>
      </c>
      <c r="J32" s="38" t="n">
        <v>51.5</v>
      </c>
    </row>
    <row r="33">
      <c r="A33" s="5" t="inlineStr">
        <is>
          <t>Starlink ARPU ($ / month)</t>
        </is>
      </c>
      <c r="B33" s="38" t="n">
        <v>62</v>
      </c>
      <c r="C33" s="38" t="n">
        <v>59</v>
      </c>
      <c r="D33" s="38" t="n">
        <v>57</v>
      </c>
      <c r="E33" s="38" t="n">
        <v>55</v>
      </c>
      <c r="F33" s="38" t="n">
        <v>54</v>
      </c>
      <c r="G33" s="38" t="n">
        <v>53</v>
      </c>
      <c r="H33" s="38" t="n">
        <v>52.5</v>
      </c>
      <c r="I33" s="38" t="n">
        <v>52</v>
      </c>
      <c r="J33" s="38" t="n">
        <v>52</v>
      </c>
    </row>
    <row r="34">
      <c r="A34" s="5" t="inlineStr">
        <is>
          <t>Enterprise &amp; government revenue ($bn)</t>
        </is>
      </c>
      <c r="B34" s="35" t="n">
        <v>10.5</v>
      </c>
      <c r="C34" s="35" t="n">
        <v>13</v>
      </c>
      <c r="D34" s="35" t="n">
        <v>15.5</v>
      </c>
      <c r="E34" s="35" t="n">
        <v>18</v>
      </c>
      <c r="F34" s="35" t="n">
        <v>20.5</v>
      </c>
      <c r="G34" s="35" t="n">
        <v>23</v>
      </c>
      <c r="H34" s="35" t="n">
        <v>25</v>
      </c>
      <c r="I34" s="35" t="n">
        <v>27</v>
      </c>
      <c r="J34" s="35" t="n">
        <v>29</v>
      </c>
    </row>
    <row r="35">
      <c r="A35" s="5" t="inlineStr">
        <is>
          <t>Starlink Mobile revenue ($bn)</t>
        </is>
      </c>
      <c r="B35" s="35" t="n">
        <v>0.8</v>
      </c>
      <c r="C35" s="35" t="n">
        <v>2</v>
      </c>
      <c r="D35" s="35" t="n">
        <v>3.5</v>
      </c>
      <c r="E35" s="35" t="n">
        <v>5</v>
      </c>
      <c r="F35" s="35" t="n">
        <v>6.5</v>
      </c>
      <c r="G35" s="35" t="n">
        <v>8</v>
      </c>
      <c r="H35" s="35" t="n">
        <v>9</v>
      </c>
      <c r="I35" s="35" t="n">
        <v>10</v>
      </c>
      <c r="J35" s="35" t="n">
        <v>11</v>
      </c>
    </row>
    <row r="36">
      <c r="A36" s="5" t="inlineStr">
        <is>
          <t>Connectivity adj. EBITDA margin</t>
        </is>
      </c>
      <c r="B36" s="14" t="n">
        <v>0.6</v>
      </c>
      <c r="C36" s="14" t="n">
        <v>0.6</v>
      </c>
      <c r="D36" s="14" t="n">
        <v>0.61</v>
      </c>
      <c r="E36" s="14" t="n">
        <v>0.62</v>
      </c>
      <c r="F36" s="14" t="n">
        <v>0.62</v>
      </c>
      <c r="G36" s="14" t="n">
        <v>0.62</v>
      </c>
      <c r="H36" s="14" t="n">
        <v>0.62</v>
      </c>
      <c r="I36" s="14" t="n">
        <v>0.62</v>
      </c>
      <c r="J36" s="14" t="n">
        <v>0.62</v>
      </c>
    </row>
    <row r="37">
      <c r="A37" s="5" t="inlineStr">
        <is>
          <t>Connectivity capex, % of revenue</t>
        </is>
      </c>
      <c r="B37" s="14" t="n">
        <v>0.32</v>
      </c>
      <c r="C37" s="14" t="n">
        <v>0.3</v>
      </c>
      <c r="D37" s="14" t="n">
        <v>0.28</v>
      </c>
      <c r="E37" s="14" t="n">
        <v>0.26</v>
      </c>
      <c r="F37" s="14" t="n">
        <v>0.24</v>
      </c>
      <c r="G37" s="14" t="n">
        <v>0.22</v>
      </c>
      <c r="H37" s="14" t="n">
        <v>0.21</v>
      </c>
      <c r="I37" s="14" t="n">
        <v>0.2</v>
      </c>
      <c r="J37" s="14" t="n">
        <v>0.2</v>
      </c>
    </row>
    <row r="38">
      <c r="A38" s="5" t="inlineStr">
        <is>
          <t>Space revenue ($bn)</t>
        </is>
      </c>
      <c r="B38" s="35" t="n">
        <v>5</v>
      </c>
      <c r="C38" s="35" t="n">
        <v>6</v>
      </c>
      <c r="D38" s="35" t="n">
        <v>7</v>
      </c>
      <c r="E38" s="35" t="n">
        <v>8</v>
      </c>
      <c r="F38" s="35" t="n">
        <v>9</v>
      </c>
      <c r="G38" s="35" t="n">
        <v>10</v>
      </c>
      <c r="H38" s="35" t="n">
        <v>11</v>
      </c>
      <c r="I38" s="35" t="n">
        <v>12</v>
      </c>
      <c r="J38" s="35" t="n">
        <v>13</v>
      </c>
    </row>
    <row r="39">
      <c r="A39" s="5" t="inlineStr">
        <is>
          <t>Space margin before Starship R&amp;D</t>
        </is>
      </c>
      <c r="B39" s="14" t="n">
        <v>0.55</v>
      </c>
      <c r="C39" s="14" t="n">
        <v>0.55</v>
      </c>
      <c r="D39" s="14" t="n">
        <v>0.55</v>
      </c>
      <c r="E39" s="14" t="n">
        <v>0.55</v>
      </c>
      <c r="F39" s="14" t="n">
        <v>0.55</v>
      </c>
      <c r="G39" s="14" t="n">
        <v>0.55</v>
      </c>
      <c r="H39" s="14" t="n">
        <v>0.55</v>
      </c>
      <c r="I39" s="14" t="n">
        <v>0.55</v>
      </c>
      <c r="J39" s="14" t="n">
        <v>0.55</v>
      </c>
    </row>
    <row r="40">
      <c r="A40" s="5" t="inlineStr">
        <is>
          <t>Starship R&amp;D ($bn)</t>
        </is>
      </c>
      <c r="B40" s="35" t="n">
        <v>4.5</v>
      </c>
      <c r="C40" s="35" t="n">
        <v>4.5</v>
      </c>
      <c r="D40" s="35" t="n">
        <v>4</v>
      </c>
      <c r="E40" s="35" t="n">
        <v>3.5</v>
      </c>
      <c r="F40" s="35" t="n">
        <v>3</v>
      </c>
      <c r="G40" s="35" t="n">
        <v>3</v>
      </c>
      <c r="H40" s="35" t="n">
        <v>3</v>
      </c>
      <c r="I40" s="35" t="n">
        <v>3</v>
      </c>
      <c r="J40" s="35" t="n">
        <v>3</v>
      </c>
    </row>
    <row r="41">
      <c r="A41" s="5" t="inlineStr">
        <is>
          <t>Space capex ($bn)</t>
        </is>
      </c>
      <c r="B41" s="35" t="n">
        <v>4.5</v>
      </c>
      <c r="C41" s="35" t="n">
        <v>4.5</v>
      </c>
      <c r="D41" s="35" t="n">
        <v>4.5</v>
      </c>
      <c r="E41" s="35" t="n">
        <v>4.5</v>
      </c>
      <c r="F41" s="35" t="n">
        <v>4.5</v>
      </c>
      <c r="G41" s="35" t="n">
        <v>5</v>
      </c>
      <c r="H41" s="35" t="n">
        <v>5</v>
      </c>
      <c r="I41" s="35" t="n">
        <v>5.5</v>
      </c>
      <c r="J41" s="35" t="n">
        <v>5.5</v>
      </c>
    </row>
    <row r="42">
      <c r="A42" s="5" t="inlineStr">
        <is>
          <t>AI compute, year end (GW nameplate)</t>
        </is>
      </c>
      <c r="B42" s="38" t="n">
        <v>4</v>
      </c>
      <c r="C42" s="38" t="n">
        <v>6</v>
      </c>
      <c r="D42" s="38" t="n">
        <v>7.5</v>
      </c>
      <c r="E42" s="38" t="n">
        <v>9</v>
      </c>
      <c r="F42" s="38" t="n">
        <v>10</v>
      </c>
      <c r="G42" s="38" t="n">
        <v>11</v>
      </c>
      <c r="H42" s="38" t="n">
        <v>12</v>
      </c>
      <c r="I42" s="38" t="n">
        <v>13</v>
      </c>
      <c r="J42" s="38" t="n">
        <v>14</v>
      </c>
    </row>
    <row r="43">
      <c r="A43" s="5" t="inlineStr">
        <is>
          <t>Share of compute rented to customers</t>
        </is>
      </c>
      <c r="B43" s="14" t="n">
        <v>0.78</v>
      </c>
      <c r="C43" s="14" t="n">
        <v>0.76</v>
      </c>
      <c r="D43" s="14" t="n">
        <v>0.74</v>
      </c>
      <c r="E43" s="14" t="n">
        <v>0.72</v>
      </c>
      <c r="F43" s="14" t="n">
        <v>0.7</v>
      </c>
      <c r="G43" s="14" t="n">
        <v>0.7</v>
      </c>
      <c r="H43" s="14" t="n">
        <v>0.7</v>
      </c>
      <c r="I43" s="14" t="n">
        <v>0.7</v>
      </c>
      <c r="J43" s="14" t="n">
        <v>0.7</v>
      </c>
    </row>
    <row r="44">
      <c r="A44" s="5" t="inlineStr">
        <is>
          <t>Cloud revenue per watt-year ($)</t>
        </is>
      </c>
      <c r="B44" s="38" t="n">
        <v>34</v>
      </c>
      <c r="C44" s="38" t="n">
        <v>29</v>
      </c>
      <c r="D44" s="38" t="n">
        <v>25</v>
      </c>
      <c r="E44" s="38" t="n">
        <v>23</v>
      </c>
      <c r="F44" s="38" t="n">
        <v>21</v>
      </c>
      <c r="G44" s="38" t="n">
        <v>20</v>
      </c>
      <c r="H44" s="38" t="n">
        <v>19</v>
      </c>
      <c r="I44" s="38" t="n">
        <v>18</v>
      </c>
      <c r="J44" s="38" t="n">
        <v>18</v>
      </c>
    </row>
    <row r="45">
      <c r="A45" s="5" t="inlineStr">
        <is>
          <t>Cloud adj. EBITDA margin</t>
        </is>
      </c>
      <c r="B45" s="14" t="n">
        <v>0.65</v>
      </c>
      <c r="C45" s="14" t="n">
        <v>0.63</v>
      </c>
      <c r="D45" s="14" t="n">
        <v>0.6</v>
      </c>
      <c r="E45" s="14" t="n">
        <v>0.58</v>
      </c>
      <c r="F45" s="14" t="n">
        <v>0.5600000000000001</v>
      </c>
      <c r="G45" s="14" t="n">
        <v>0.55</v>
      </c>
      <c r="H45" s="14" t="n">
        <v>0.55</v>
      </c>
      <c r="I45" s="14" t="n">
        <v>0.55</v>
      </c>
      <c r="J45" s="14" t="n">
        <v>0.55</v>
      </c>
    </row>
    <row r="46">
      <c r="A46" s="5" t="inlineStr">
        <is>
          <t>AI capex per watt ($)</t>
        </is>
      </c>
      <c r="B46" s="38" t="n">
        <v>38</v>
      </c>
      <c r="C46" s="38" t="n">
        <v>34</v>
      </c>
      <c r="D46" s="38" t="n">
        <v>31</v>
      </c>
      <c r="E46" s="38" t="n">
        <v>29</v>
      </c>
      <c r="F46" s="38" t="n">
        <v>27</v>
      </c>
      <c r="G46" s="38" t="n">
        <v>26</v>
      </c>
      <c r="H46" s="38" t="n">
        <v>25</v>
      </c>
      <c r="I46" s="38" t="n">
        <v>24</v>
      </c>
      <c r="J46" s="38" t="n">
        <v>24</v>
      </c>
    </row>
    <row r="47">
      <c r="A47" s="5" t="inlineStr">
        <is>
          <t>Grok / X / Cursor revenue ($bn)</t>
        </is>
      </c>
      <c r="B47" s="35" t="n">
        <v>8</v>
      </c>
      <c r="C47" s="35" t="n">
        <v>11</v>
      </c>
      <c r="D47" s="35" t="n">
        <v>14</v>
      </c>
      <c r="E47" s="35" t="n">
        <v>17</v>
      </c>
      <c r="F47" s="35" t="n">
        <v>20</v>
      </c>
      <c r="G47" s="35" t="n">
        <v>23</v>
      </c>
      <c r="H47" s="35" t="n">
        <v>26</v>
      </c>
      <c r="I47" s="35" t="n">
        <v>28</v>
      </c>
      <c r="J47" s="35" t="n">
        <v>30</v>
      </c>
    </row>
    <row r="48">
      <c r="A48" s="5" t="inlineStr">
        <is>
          <t>Apps and ads adj. EBITDA margin</t>
        </is>
      </c>
      <c r="B48" s="14" t="n">
        <v>0.1</v>
      </c>
      <c r="C48" s="14" t="n">
        <v>0.15</v>
      </c>
      <c r="D48" s="14" t="n">
        <v>0.2</v>
      </c>
      <c r="E48" s="14" t="n">
        <v>0.25</v>
      </c>
      <c r="F48" s="14" t="n">
        <v>0.28</v>
      </c>
      <c r="G48" s="14" t="n">
        <v>0.3</v>
      </c>
      <c r="H48" s="14" t="n">
        <v>0.32</v>
      </c>
      <c r="I48" s="14" t="n">
        <v>0.33</v>
      </c>
      <c r="J48" s="14" t="n">
        <v>0.34</v>
      </c>
    </row>
    <row r="49">
      <c r="A49" s="5" t="inlineStr">
        <is>
          <t>Frontier-model R&amp;D ($bn)</t>
        </is>
      </c>
      <c r="B49" s="35" t="n">
        <v>7</v>
      </c>
      <c r="C49" s="35" t="n">
        <v>8</v>
      </c>
      <c r="D49" s="35" t="n">
        <v>9</v>
      </c>
      <c r="E49" s="35" t="n">
        <v>9</v>
      </c>
      <c r="F49" s="35" t="n">
        <v>9</v>
      </c>
      <c r="G49" s="35" t="n">
        <v>9</v>
      </c>
      <c r="H49" s="35" t="n">
        <v>9</v>
      </c>
      <c r="I49" s="35" t="n">
        <v>9</v>
      </c>
      <c r="J49" s="35" t="n">
        <v>9</v>
      </c>
    </row>
    <row r="50">
      <c r="A50" s="5" t="inlineStr">
        <is>
          <t>Stock comp, % of revenue</t>
        </is>
      </c>
      <c r="B50" s="14" t="n">
        <v>0.06</v>
      </c>
      <c r="C50" s="14" t="n">
        <v>0.05</v>
      </c>
      <c r="D50" s="14" t="n">
        <v>0.045</v>
      </c>
      <c r="E50" s="14" t="n">
        <v>0.04</v>
      </c>
      <c r="F50" s="14" t="n">
        <v>0.035</v>
      </c>
      <c r="G50" s="14" t="n">
        <v>0.03</v>
      </c>
      <c r="H50" s="14" t="n">
        <v>0.03</v>
      </c>
      <c r="I50" s="14" t="n">
        <v>0.03</v>
      </c>
      <c r="J50" s="14" t="n">
        <v>0.03</v>
      </c>
    </row>
    <row r="51">
      <c r="A51" s="5" t="inlineStr">
        <is>
          <t>Spectrum payments ($bn)</t>
        </is>
      </c>
      <c r="B51" s="35" t="n">
        <v>17.3</v>
      </c>
      <c r="C51" s="35" t="n">
        <v>0</v>
      </c>
      <c r="D51" s="35" t="n">
        <v>0</v>
      </c>
      <c r="E51" s="35" t="n">
        <v>0</v>
      </c>
      <c r="F51" s="35" t="n">
        <v>0</v>
      </c>
      <c r="G51" s="35" t="n">
        <v>0</v>
      </c>
      <c r="H51" s="35" t="n">
        <v>0</v>
      </c>
      <c r="I51" s="35" t="n">
        <v>0</v>
      </c>
      <c r="J51" s="35" t="n">
        <v>0</v>
      </c>
    </row>
    <row r="54">
      <c r="A54" s="9" t="inlineStr">
        <is>
          <t>Bull case</t>
        </is>
      </c>
    </row>
    <row r="55">
      <c r="A55" s="2" t="inlineStr">
        <is>
          <t>Roughly the Morgan Stanley path (about $320B to $340B of revenue in 2030). Compute scales to about 13 GW by 2030 with customers renewing at firm prices, Grok, X and Cursor become a large software business, Starlink passes 40 million subscribers, and Starlink Mobile becomes a real carrier on the EchoStar and Grain spectrum. Starship reaches routine reuse in 2027, cutting launch cost and speeding V3 deployment.</t>
        </is>
      </c>
    </row>
    <row r="56">
      <c r="A56" s="3" t="inlineStr">
        <is>
          <t>Driver</t>
        </is>
      </c>
      <c r="B56" s="4" t="inlineStr">
        <is>
          <t>2027</t>
        </is>
      </c>
      <c r="C56" s="4" t="inlineStr">
        <is>
          <t>2028</t>
        </is>
      </c>
      <c r="D56" s="4" t="inlineStr">
        <is>
          <t>2029</t>
        </is>
      </c>
      <c r="E56" s="4" t="inlineStr">
        <is>
          <t>2030</t>
        </is>
      </c>
      <c r="F56" s="4" t="inlineStr">
        <is>
          <t>2031</t>
        </is>
      </c>
      <c r="G56" s="4" t="inlineStr">
        <is>
          <t>2032</t>
        </is>
      </c>
      <c r="H56" s="4" t="inlineStr">
        <is>
          <t>2033</t>
        </is>
      </c>
      <c r="I56" s="4" t="inlineStr">
        <is>
          <t>2034</t>
        </is>
      </c>
      <c r="J56" s="4" t="inlineStr">
        <is>
          <t>2035</t>
        </is>
      </c>
    </row>
    <row r="57">
      <c r="A57" s="5" t="inlineStr">
        <is>
          <t>Starlink subscribers, year end (mm)</t>
        </is>
      </c>
      <c r="B57" s="38" t="n">
        <v>23</v>
      </c>
      <c r="C57" s="38" t="n">
        <v>30</v>
      </c>
      <c r="D57" s="38" t="n">
        <v>37</v>
      </c>
      <c r="E57" s="38" t="n">
        <v>44</v>
      </c>
      <c r="F57" s="38" t="n">
        <v>50</v>
      </c>
      <c r="G57" s="38" t="n">
        <v>56</v>
      </c>
      <c r="H57" s="38" t="n">
        <v>61</v>
      </c>
      <c r="I57" s="38" t="n">
        <v>66</v>
      </c>
      <c r="J57" s="38" t="n">
        <v>70</v>
      </c>
    </row>
    <row r="58">
      <c r="A58" s="5" t="inlineStr">
        <is>
          <t>Starlink ARPU ($ / month)</t>
        </is>
      </c>
      <c r="B58" s="38" t="n">
        <v>63</v>
      </c>
      <c r="C58" s="38" t="n">
        <v>61</v>
      </c>
      <c r="D58" s="38" t="n">
        <v>59</v>
      </c>
      <c r="E58" s="38" t="n">
        <v>58</v>
      </c>
      <c r="F58" s="38" t="n">
        <v>57</v>
      </c>
      <c r="G58" s="38" t="n">
        <v>56</v>
      </c>
      <c r="H58" s="38" t="n">
        <v>56</v>
      </c>
      <c r="I58" s="38" t="n">
        <v>56</v>
      </c>
      <c r="J58" s="38" t="n">
        <v>56</v>
      </c>
    </row>
    <row r="59">
      <c r="A59" s="5" t="inlineStr">
        <is>
          <t>Enterprise &amp; government revenue ($bn)</t>
        </is>
      </c>
      <c r="B59" s="35" t="n">
        <v>11.5</v>
      </c>
      <c r="C59" s="35" t="n">
        <v>15</v>
      </c>
      <c r="D59" s="35" t="n">
        <v>19</v>
      </c>
      <c r="E59" s="35" t="n">
        <v>23</v>
      </c>
      <c r="F59" s="35" t="n">
        <v>27</v>
      </c>
      <c r="G59" s="35" t="n">
        <v>31</v>
      </c>
      <c r="H59" s="35" t="n">
        <v>35</v>
      </c>
      <c r="I59" s="35" t="n">
        <v>39</v>
      </c>
      <c r="J59" s="35" t="n">
        <v>43</v>
      </c>
    </row>
    <row r="60">
      <c r="A60" s="5" t="inlineStr">
        <is>
          <t>Starlink Mobile revenue ($bn)</t>
        </is>
      </c>
      <c r="B60" s="35" t="n">
        <v>1</v>
      </c>
      <c r="C60" s="35" t="n">
        <v>3</v>
      </c>
      <c r="D60" s="35" t="n">
        <v>6</v>
      </c>
      <c r="E60" s="35" t="n">
        <v>10</v>
      </c>
      <c r="F60" s="35" t="n">
        <v>14</v>
      </c>
      <c r="G60" s="35" t="n">
        <v>18</v>
      </c>
      <c r="H60" s="35" t="n">
        <v>21</v>
      </c>
      <c r="I60" s="35" t="n">
        <v>24</v>
      </c>
      <c r="J60" s="35" t="n">
        <v>27</v>
      </c>
    </row>
    <row r="61">
      <c r="A61" s="5" t="inlineStr">
        <is>
          <t>Connectivity adj. EBITDA margin</t>
        </is>
      </c>
      <c r="B61" s="14" t="n">
        <v>0.61</v>
      </c>
      <c r="C61" s="14" t="n">
        <v>0.62</v>
      </c>
      <c r="D61" s="14" t="n">
        <v>0.63</v>
      </c>
      <c r="E61" s="14" t="n">
        <v>0.64</v>
      </c>
      <c r="F61" s="14" t="n">
        <v>0.65</v>
      </c>
      <c r="G61" s="14" t="n">
        <v>0.65</v>
      </c>
      <c r="H61" s="14" t="n">
        <v>0.65</v>
      </c>
      <c r="I61" s="14" t="n">
        <v>0.65</v>
      </c>
      <c r="J61" s="14" t="n">
        <v>0.65</v>
      </c>
    </row>
    <row r="62">
      <c r="A62" s="5" t="inlineStr">
        <is>
          <t>Connectivity capex, % of revenue</t>
        </is>
      </c>
      <c r="B62" s="14" t="n">
        <v>0.32</v>
      </c>
      <c r="C62" s="14" t="n">
        <v>0.3</v>
      </c>
      <c r="D62" s="14" t="n">
        <v>0.27</v>
      </c>
      <c r="E62" s="14" t="n">
        <v>0.24</v>
      </c>
      <c r="F62" s="14" t="n">
        <v>0.22</v>
      </c>
      <c r="G62" s="14" t="n">
        <v>0.2</v>
      </c>
      <c r="H62" s="14" t="n">
        <v>0.19</v>
      </c>
      <c r="I62" s="14" t="n">
        <v>0.18</v>
      </c>
      <c r="J62" s="14" t="n">
        <v>0.18</v>
      </c>
    </row>
    <row r="63">
      <c r="A63" s="5" t="inlineStr">
        <is>
          <t>Space revenue ($bn)</t>
        </is>
      </c>
      <c r="B63" s="35" t="n">
        <v>5.5</v>
      </c>
      <c r="C63" s="35" t="n">
        <v>7</v>
      </c>
      <c r="D63" s="35" t="n">
        <v>9</v>
      </c>
      <c r="E63" s="35" t="n">
        <v>11</v>
      </c>
      <c r="F63" s="35" t="n">
        <v>13</v>
      </c>
      <c r="G63" s="35" t="n">
        <v>15</v>
      </c>
      <c r="H63" s="35" t="n">
        <v>17</v>
      </c>
      <c r="I63" s="35" t="n">
        <v>19</v>
      </c>
      <c r="J63" s="35" t="n">
        <v>21</v>
      </c>
    </row>
    <row r="64">
      <c r="A64" s="5" t="inlineStr">
        <is>
          <t>Space margin before Starship R&amp;D</t>
        </is>
      </c>
      <c r="B64" s="14" t="n">
        <v>0.6</v>
      </c>
      <c r="C64" s="14" t="n">
        <v>0.6</v>
      </c>
      <c r="D64" s="14" t="n">
        <v>0.6</v>
      </c>
      <c r="E64" s="14" t="n">
        <v>0.6</v>
      </c>
      <c r="F64" s="14" t="n">
        <v>0.6</v>
      </c>
      <c r="G64" s="14" t="n">
        <v>0.6</v>
      </c>
      <c r="H64" s="14" t="n">
        <v>0.6</v>
      </c>
      <c r="I64" s="14" t="n">
        <v>0.6</v>
      </c>
      <c r="J64" s="14" t="n">
        <v>0.6</v>
      </c>
    </row>
    <row r="65">
      <c r="A65" s="5" t="inlineStr">
        <is>
          <t>Starship R&amp;D ($bn)</t>
        </is>
      </c>
      <c r="B65" s="35" t="n">
        <v>4.5</v>
      </c>
      <c r="C65" s="35" t="n">
        <v>4</v>
      </c>
      <c r="D65" s="35" t="n">
        <v>3.5</v>
      </c>
      <c r="E65" s="35" t="n">
        <v>3</v>
      </c>
      <c r="F65" s="35" t="n">
        <v>3</v>
      </c>
      <c r="G65" s="35" t="n">
        <v>3</v>
      </c>
      <c r="H65" s="35" t="n">
        <v>3</v>
      </c>
      <c r="I65" s="35" t="n">
        <v>3</v>
      </c>
      <c r="J65" s="35" t="n">
        <v>3</v>
      </c>
    </row>
    <row r="66">
      <c r="A66" s="5" t="inlineStr">
        <is>
          <t>Space capex ($bn)</t>
        </is>
      </c>
      <c r="B66" s="35" t="n">
        <v>4.5</v>
      </c>
      <c r="C66" s="35" t="n">
        <v>4.5</v>
      </c>
      <c r="D66" s="35" t="n">
        <v>4.5</v>
      </c>
      <c r="E66" s="35" t="n">
        <v>4.5</v>
      </c>
      <c r="F66" s="35" t="n">
        <v>4.5</v>
      </c>
      <c r="G66" s="35" t="n">
        <v>5</v>
      </c>
      <c r="H66" s="35" t="n">
        <v>5</v>
      </c>
      <c r="I66" s="35" t="n">
        <v>5.5</v>
      </c>
      <c r="J66" s="35" t="n">
        <v>5.5</v>
      </c>
    </row>
    <row r="67">
      <c r="A67" s="5" t="inlineStr">
        <is>
          <t>AI compute, year end (GW nameplate)</t>
        </is>
      </c>
      <c r="B67" s="38" t="n">
        <v>5.5</v>
      </c>
      <c r="C67" s="38" t="n">
        <v>8</v>
      </c>
      <c r="D67" s="38" t="n">
        <v>10.5</v>
      </c>
      <c r="E67" s="38" t="n">
        <v>13</v>
      </c>
      <c r="F67" s="38" t="n">
        <v>15.5</v>
      </c>
      <c r="G67" s="38" t="n">
        <v>18</v>
      </c>
      <c r="H67" s="38" t="n">
        <v>20.5</v>
      </c>
      <c r="I67" s="38" t="n">
        <v>23</v>
      </c>
      <c r="J67" s="38" t="n">
        <v>25</v>
      </c>
    </row>
    <row r="68">
      <c r="A68" s="5" t="inlineStr">
        <is>
          <t>Share of compute rented to customers</t>
        </is>
      </c>
      <c r="B68" s="14" t="n">
        <v>0.82</v>
      </c>
      <c r="C68" s="14" t="n">
        <v>0.8</v>
      </c>
      <c r="D68" s="14" t="n">
        <v>0.78</v>
      </c>
      <c r="E68" s="14" t="n">
        <v>0.76</v>
      </c>
      <c r="F68" s="14" t="n">
        <v>0.75</v>
      </c>
      <c r="G68" s="14" t="n">
        <v>0.75</v>
      </c>
      <c r="H68" s="14" t="n">
        <v>0.75</v>
      </c>
      <c r="I68" s="14" t="n">
        <v>0.75</v>
      </c>
      <c r="J68" s="14" t="n">
        <v>0.75</v>
      </c>
    </row>
    <row r="69">
      <c r="A69" s="5" t="inlineStr">
        <is>
          <t>Cloud revenue per watt-year ($)</t>
        </is>
      </c>
      <c r="B69" s="38" t="n">
        <v>38</v>
      </c>
      <c r="C69" s="38" t="n">
        <v>33</v>
      </c>
      <c r="D69" s="38" t="n">
        <v>29</v>
      </c>
      <c r="E69" s="38" t="n">
        <v>26</v>
      </c>
      <c r="F69" s="38" t="n">
        <v>24</v>
      </c>
      <c r="G69" s="38" t="n">
        <v>23</v>
      </c>
      <c r="H69" s="38" t="n">
        <v>22</v>
      </c>
      <c r="I69" s="38" t="n">
        <v>21</v>
      </c>
      <c r="J69" s="38" t="n">
        <v>21</v>
      </c>
    </row>
    <row r="70">
      <c r="A70" s="5" t="inlineStr">
        <is>
          <t>Cloud adj. EBITDA margin</t>
        </is>
      </c>
      <c r="B70" s="14" t="n">
        <v>0.66</v>
      </c>
      <c r="C70" s="14" t="n">
        <v>0.65</v>
      </c>
      <c r="D70" s="14" t="n">
        <v>0.63</v>
      </c>
      <c r="E70" s="14" t="n">
        <v>0.62</v>
      </c>
      <c r="F70" s="14" t="n">
        <v>0.61</v>
      </c>
      <c r="G70" s="14" t="n">
        <v>0.6</v>
      </c>
      <c r="H70" s="14" t="n">
        <v>0.6</v>
      </c>
      <c r="I70" s="14" t="n">
        <v>0.6</v>
      </c>
      <c r="J70" s="14" t="n">
        <v>0.6</v>
      </c>
    </row>
    <row r="71">
      <c r="A71" s="5" t="inlineStr">
        <is>
          <t>AI capex per watt ($)</t>
        </is>
      </c>
      <c r="B71" s="38" t="n">
        <v>37</v>
      </c>
      <c r="C71" s="38" t="n">
        <v>33</v>
      </c>
      <c r="D71" s="38" t="n">
        <v>30</v>
      </c>
      <c r="E71" s="38" t="n">
        <v>27</v>
      </c>
      <c r="F71" s="38" t="n">
        <v>25</v>
      </c>
      <c r="G71" s="38" t="n">
        <v>24</v>
      </c>
      <c r="H71" s="38" t="n">
        <v>23</v>
      </c>
      <c r="I71" s="38" t="n">
        <v>22</v>
      </c>
      <c r="J71" s="38" t="n">
        <v>22</v>
      </c>
    </row>
    <row r="72">
      <c r="A72" s="5" t="inlineStr">
        <is>
          <t>Grok / X / Cursor revenue ($bn)</t>
        </is>
      </c>
      <c r="B72" s="35" t="n">
        <v>10</v>
      </c>
      <c r="C72" s="35" t="n">
        <v>16</v>
      </c>
      <c r="D72" s="35" t="n">
        <v>24</v>
      </c>
      <c r="E72" s="35" t="n">
        <v>32</v>
      </c>
      <c r="F72" s="35" t="n">
        <v>40</v>
      </c>
      <c r="G72" s="35" t="n">
        <v>48</v>
      </c>
      <c r="H72" s="35" t="n">
        <v>55</v>
      </c>
      <c r="I72" s="35" t="n">
        <v>62</v>
      </c>
      <c r="J72" s="35" t="n">
        <v>68</v>
      </c>
    </row>
    <row r="73">
      <c r="A73" s="5" t="inlineStr">
        <is>
          <t>Apps and ads adj. EBITDA margin</t>
        </is>
      </c>
      <c r="B73" s="14" t="n">
        <v>0.15</v>
      </c>
      <c r="C73" s="14" t="n">
        <v>0.22</v>
      </c>
      <c r="D73" s="14" t="n">
        <v>0.28</v>
      </c>
      <c r="E73" s="14" t="n">
        <v>0.32</v>
      </c>
      <c r="F73" s="14" t="n">
        <v>0.35</v>
      </c>
      <c r="G73" s="14" t="n">
        <v>0.37</v>
      </c>
      <c r="H73" s="14" t="n">
        <v>0.38</v>
      </c>
      <c r="I73" s="14" t="n">
        <v>0.39</v>
      </c>
      <c r="J73" s="14" t="n">
        <v>0.4</v>
      </c>
    </row>
    <row r="74">
      <c r="A74" s="5" t="inlineStr">
        <is>
          <t>Frontier-model R&amp;D ($bn)</t>
        </is>
      </c>
      <c r="B74" s="35" t="n">
        <v>8</v>
      </c>
      <c r="C74" s="35" t="n">
        <v>10</v>
      </c>
      <c r="D74" s="35" t="n">
        <v>11</v>
      </c>
      <c r="E74" s="35" t="n">
        <v>12</v>
      </c>
      <c r="F74" s="35" t="n">
        <v>12</v>
      </c>
      <c r="G74" s="35" t="n">
        <v>12</v>
      </c>
      <c r="H74" s="35" t="n">
        <v>12</v>
      </c>
      <c r="I74" s="35" t="n">
        <v>12</v>
      </c>
      <c r="J74" s="35" t="n">
        <v>12</v>
      </c>
    </row>
    <row r="75">
      <c r="A75" s="5" t="inlineStr">
        <is>
          <t>Stock comp, % of revenue</t>
        </is>
      </c>
      <c r="B75" s="14" t="n">
        <v>0.06</v>
      </c>
      <c r="C75" s="14" t="n">
        <v>0.05</v>
      </c>
      <c r="D75" s="14" t="n">
        <v>0.045</v>
      </c>
      <c r="E75" s="14" t="n">
        <v>0.04</v>
      </c>
      <c r="F75" s="14" t="n">
        <v>0.035</v>
      </c>
      <c r="G75" s="14" t="n">
        <v>0.03</v>
      </c>
      <c r="H75" s="14" t="n">
        <v>0.03</v>
      </c>
      <c r="I75" s="14" t="n">
        <v>0.03</v>
      </c>
      <c r="J75" s="14" t="n">
        <v>0.03</v>
      </c>
    </row>
    <row r="76">
      <c r="A76" s="5" t="inlineStr">
        <is>
          <t>Spectrum payments ($bn)</t>
        </is>
      </c>
      <c r="B76" s="35" t="n">
        <v>17.3</v>
      </c>
      <c r="C76" s="35" t="n">
        <v>0</v>
      </c>
      <c r="D76" s="35" t="n">
        <v>0</v>
      </c>
      <c r="E76" s="35" t="n">
        <v>0</v>
      </c>
      <c r="F76" s="35" t="n">
        <v>0</v>
      </c>
      <c r="G76" s="35" t="n">
        <v>0</v>
      </c>
      <c r="H76" s="35" t="n">
        <v>0</v>
      </c>
      <c r="I76" s="35" t="n">
        <v>0</v>
      </c>
      <c r="J76" s="35" t="n">
        <v>0</v>
      </c>
    </row>
    <row r="79">
      <c r="A79" s="9" t="inlineStr">
        <is>
          <t>Right tail case</t>
        </is>
      </c>
    </row>
    <row r="80">
      <c r="A80" s="2" t="inlineStr">
        <is>
          <t>Management's plan mostly works, close to Goldman's private $474B 2030 revenue projection: about 19 GW of compute by 2030 at strong prices, Terafab and Starship-launched orbital compute lower the cost per watt, Grok and Cursor win a large share of enterprise AI spending, and Starlink plus Starlink Mobile serve well over 50 million customers. Mars and point-to-point travel are still not valued.</t>
        </is>
      </c>
    </row>
    <row r="81">
      <c r="A81" s="3" t="inlineStr">
        <is>
          <t>Driver</t>
        </is>
      </c>
      <c r="B81" s="4" t="inlineStr">
        <is>
          <t>2027</t>
        </is>
      </c>
      <c r="C81" s="4" t="inlineStr">
        <is>
          <t>2028</t>
        </is>
      </c>
      <c r="D81" s="4" t="inlineStr">
        <is>
          <t>2029</t>
        </is>
      </c>
      <c r="E81" s="4" t="inlineStr">
        <is>
          <t>2030</t>
        </is>
      </c>
      <c r="F81" s="4" t="inlineStr">
        <is>
          <t>2031</t>
        </is>
      </c>
      <c r="G81" s="4" t="inlineStr">
        <is>
          <t>2032</t>
        </is>
      </c>
      <c r="H81" s="4" t="inlineStr">
        <is>
          <t>2033</t>
        </is>
      </c>
      <c r="I81" s="4" t="inlineStr">
        <is>
          <t>2034</t>
        </is>
      </c>
      <c r="J81" s="4" t="inlineStr">
        <is>
          <t>2035</t>
        </is>
      </c>
    </row>
    <row r="82">
      <c r="A82" s="5" t="inlineStr">
        <is>
          <t>Starlink subscribers, year end (mm)</t>
        </is>
      </c>
      <c r="B82" s="38" t="n">
        <v>25</v>
      </c>
      <c r="C82" s="38" t="n">
        <v>35</v>
      </c>
      <c r="D82" s="38" t="n">
        <v>45</v>
      </c>
      <c r="E82" s="38" t="n">
        <v>55</v>
      </c>
      <c r="F82" s="38" t="n">
        <v>64</v>
      </c>
      <c r="G82" s="38" t="n">
        <v>72</v>
      </c>
      <c r="H82" s="38" t="n">
        <v>80</v>
      </c>
      <c r="I82" s="38" t="n">
        <v>87</v>
      </c>
      <c r="J82" s="38" t="n">
        <v>93</v>
      </c>
    </row>
    <row r="83">
      <c r="A83" s="5" t="inlineStr">
        <is>
          <t>Starlink ARPU ($ / month)</t>
        </is>
      </c>
      <c r="B83" s="38" t="n">
        <v>64</v>
      </c>
      <c r="C83" s="38" t="n">
        <v>62</v>
      </c>
      <c r="D83" s="38" t="n">
        <v>60</v>
      </c>
      <c r="E83" s="38" t="n">
        <v>59</v>
      </c>
      <c r="F83" s="38" t="n">
        <v>58</v>
      </c>
      <c r="G83" s="38" t="n">
        <v>57</v>
      </c>
      <c r="H83" s="38" t="n">
        <v>57</v>
      </c>
      <c r="I83" s="38" t="n">
        <v>57</v>
      </c>
      <c r="J83" s="38" t="n">
        <v>57</v>
      </c>
    </row>
    <row r="84">
      <c r="A84" s="5" t="inlineStr">
        <is>
          <t>Enterprise &amp; government revenue ($bn)</t>
        </is>
      </c>
      <c r="B84" s="35" t="n">
        <v>12</v>
      </c>
      <c r="C84" s="35" t="n">
        <v>17</v>
      </c>
      <c r="D84" s="35" t="n">
        <v>23</v>
      </c>
      <c r="E84" s="35" t="n">
        <v>29</v>
      </c>
      <c r="F84" s="35" t="n">
        <v>35</v>
      </c>
      <c r="G84" s="35" t="n">
        <v>41</v>
      </c>
      <c r="H84" s="35" t="n">
        <v>47</v>
      </c>
      <c r="I84" s="35" t="n">
        <v>53</v>
      </c>
      <c r="J84" s="35" t="n">
        <v>59</v>
      </c>
    </row>
    <row r="85">
      <c r="A85" s="5" t="inlineStr">
        <is>
          <t>Starlink Mobile revenue ($bn)</t>
        </is>
      </c>
      <c r="B85" s="35" t="n">
        <v>1.5</v>
      </c>
      <c r="C85" s="35" t="n">
        <v>5</v>
      </c>
      <c r="D85" s="35" t="n">
        <v>10</v>
      </c>
      <c r="E85" s="35" t="n">
        <v>16</v>
      </c>
      <c r="F85" s="35" t="n">
        <v>22</v>
      </c>
      <c r="G85" s="35" t="n">
        <v>28</v>
      </c>
      <c r="H85" s="35" t="n">
        <v>33</v>
      </c>
      <c r="I85" s="35" t="n">
        <v>38</v>
      </c>
      <c r="J85" s="35" t="n">
        <v>42</v>
      </c>
    </row>
    <row r="86">
      <c r="A86" s="5" t="inlineStr">
        <is>
          <t>Connectivity adj. EBITDA margin</t>
        </is>
      </c>
      <c r="B86" s="14" t="n">
        <v>0.62</v>
      </c>
      <c r="C86" s="14" t="n">
        <v>0.63</v>
      </c>
      <c r="D86" s="14" t="n">
        <v>0.64</v>
      </c>
      <c r="E86" s="14" t="n">
        <v>0.65</v>
      </c>
      <c r="F86" s="14" t="n">
        <v>0.65</v>
      </c>
      <c r="G86" s="14" t="n">
        <v>0.65</v>
      </c>
      <c r="H86" s="14" t="n">
        <v>0.65</v>
      </c>
      <c r="I86" s="14" t="n">
        <v>0.65</v>
      </c>
      <c r="J86" s="14" t="n">
        <v>0.65</v>
      </c>
    </row>
    <row r="87">
      <c r="A87" s="5" t="inlineStr">
        <is>
          <t>Connectivity capex, % of revenue</t>
        </is>
      </c>
      <c r="B87" s="14" t="n">
        <v>0.32</v>
      </c>
      <c r="C87" s="14" t="n">
        <v>0.29</v>
      </c>
      <c r="D87" s="14" t="n">
        <v>0.26</v>
      </c>
      <c r="E87" s="14" t="n">
        <v>0.23</v>
      </c>
      <c r="F87" s="14" t="n">
        <v>0.21</v>
      </c>
      <c r="G87" s="14" t="n">
        <v>0.19</v>
      </c>
      <c r="H87" s="14" t="n">
        <v>0.18</v>
      </c>
      <c r="I87" s="14" t="n">
        <v>0.17</v>
      </c>
      <c r="J87" s="14" t="n">
        <v>0.17</v>
      </c>
    </row>
    <row r="88">
      <c r="A88" s="5" t="inlineStr">
        <is>
          <t>Space revenue ($bn)</t>
        </is>
      </c>
      <c r="B88" s="35" t="n">
        <v>6</v>
      </c>
      <c r="C88" s="35" t="n">
        <v>9</v>
      </c>
      <c r="D88" s="35" t="n">
        <v>12</v>
      </c>
      <c r="E88" s="35" t="n">
        <v>16</v>
      </c>
      <c r="F88" s="35" t="n">
        <v>20</v>
      </c>
      <c r="G88" s="35" t="n">
        <v>24</v>
      </c>
      <c r="H88" s="35" t="n">
        <v>28</v>
      </c>
      <c r="I88" s="35" t="n">
        <v>32</v>
      </c>
      <c r="J88" s="35" t="n">
        <v>36</v>
      </c>
    </row>
    <row r="89">
      <c r="A89" s="5" t="inlineStr">
        <is>
          <t>Space margin before Starship R&amp;D</t>
        </is>
      </c>
      <c r="B89" s="14" t="n">
        <v>0.6</v>
      </c>
      <c r="C89" s="14" t="n">
        <v>0.6</v>
      </c>
      <c r="D89" s="14" t="n">
        <v>0.6</v>
      </c>
      <c r="E89" s="14" t="n">
        <v>0.6</v>
      </c>
      <c r="F89" s="14" t="n">
        <v>0.6</v>
      </c>
      <c r="G89" s="14" t="n">
        <v>0.6</v>
      </c>
      <c r="H89" s="14" t="n">
        <v>0.6</v>
      </c>
      <c r="I89" s="14" t="n">
        <v>0.6</v>
      </c>
      <c r="J89" s="14" t="n">
        <v>0.6</v>
      </c>
    </row>
    <row r="90">
      <c r="A90" s="5" t="inlineStr">
        <is>
          <t>Starship R&amp;D ($bn)</t>
        </is>
      </c>
      <c r="B90" s="35" t="n">
        <v>4</v>
      </c>
      <c r="C90" s="35" t="n">
        <v>3.5</v>
      </c>
      <c r="D90" s="35" t="n">
        <v>3</v>
      </c>
      <c r="E90" s="35" t="n">
        <v>3</v>
      </c>
      <c r="F90" s="35" t="n">
        <v>3</v>
      </c>
      <c r="G90" s="35" t="n">
        <v>3</v>
      </c>
      <c r="H90" s="35" t="n">
        <v>3</v>
      </c>
      <c r="I90" s="35" t="n">
        <v>3</v>
      </c>
      <c r="J90" s="35" t="n">
        <v>3</v>
      </c>
    </row>
    <row r="91">
      <c r="A91" s="5" t="inlineStr">
        <is>
          <t>Space capex ($bn)</t>
        </is>
      </c>
      <c r="B91" s="35" t="n">
        <v>4.5</v>
      </c>
      <c r="C91" s="35" t="n">
        <v>5</v>
      </c>
      <c r="D91" s="35" t="n">
        <v>5.5</v>
      </c>
      <c r="E91" s="35" t="n">
        <v>6</v>
      </c>
      <c r="F91" s="35" t="n">
        <v>6.5</v>
      </c>
      <c r="G91" s="35" t="n">
        <v>7</v>
      </c>
      <c r="H91" s="35" t="n">
        <v>7.5</v>
      </c>
      <c r="I91" s="35" t="n">
        <v>8</v>
      </c>
      <c r="J91" s="35" t="n">
        <v>8.5</v>
      </c>
    </row>
    <row r="92">
      <c r="A92" s="5" t="inlineStr">
        <is>
          <t>AI compute, year end (GW nameplate)</t>
        </is>
      </c>
      <c r="B92" s="38" t="n">
        <v>7</v>
      </c>
      <c r="C92" s="38" t="n">
        <v>11</v>
      </c>
      <c r="D92" s="38" t="n">
        <v>15</v>
      </c>
      <c r="E92" s="38" t="n">
        <v>19</v>
      </c>
      <c r="F92" s="38" t="n">
        <v>23</v>
      </c>
      <c r="G92" s="38" t="n">
        <v>27</v>
      </c>
      <c r="H92" s="38" t="n">
        <v>31</v>
      </c>
      <c r="I92" s="38" t="n">
        <v>35</v>
      </c>
      <c r="J92" s="38" t="n">
        <v>39</v>
      </c>
    </row>
    <row r="93">
      <c r="A93" s="5" t="inlineStr">
        <is>
          <t>Share of compute rented to customers</t>
        </is>
      </c>
      <c r="B93" s="14" t="n">
        <v>0.82</v>
      </c>
      <c r="C93" s="14" t="n">
        <v>0.8100000000000001</v>
      </c>
      <c r="D93" s="14" t="n">
        <v>0.8</v>
      </c>
      <c r="E93" s="14" t="n">
        <v>0.79</v>
      </c>
      <c r="F93" s="14" t="n">
        <v>0.78</v>
      </c>
      <c r="G93" s="14" t="n">
        <v>0.78</v>
      </c>
      <c r="H93" s="14" t="n">
        <v>0.78</v>
      </c>
      <c r="I93" s="14" t="n">
        <v>0.78</v>
      </c>
      <c r="J93" s="14" t="n">
        <v>0.78</v>
      </c>
    </row>
    <row r="94">
      <c r="A94" s="5" t="inlineStr">
        <is>
          <t>Cloud revenue per watt-year ($)</t>
        </is>
      </c>
      <c r="B94" s="38" t="n">
        <v>40</v>
      </c>
      <c r="C94" s="38" t="n">
        <v>35</v>
      </c>
      <c r="D94" s="38" t="n">
        <v>30</v>
      </c>
      <c r="E94" s="38" t="n">
        <v>26</v>
      </c>
      <c r="F94" s="38" t="n">
        <v>25</v>
      </c>
      <c r="G94" s="38" t="n">
        <v>24</v>
      </c>
      <c r="H94" s="38" t="n">
        <v>23</v>
      </c>
      <c r="I94" s="38" t="n">
        <v>22</v>
      </c>
      <c r="J94" s="38" t="n">
        <v>22</v>
      </c>
    </row>
    <row r="95">
      <c r="A95" s="5" t="inlineStr">
        <is>
          <t>Cloud adj. EBITDA margin</t>
        </is>
      </c>
      <c r="B95" s="14" t="n">
        <v>0.66</v>
      </c>
      <c r="C95" s="14" t="n">
        <v>0.65</v>
      </c>
      <c r="D95" s="14" t="n">
        <v>0.64</v>
      </c>
      <c r="E95" s="14" t="n">
        <v>0.63</v>
      </c>
      <c r="F95" s="14" t="n">
        <v>0.62</v>
      </c>
      <c r="G95" s="14" t="n">
        <v>0.62</v>
      </c>
      <c r="H95" s="14" t="n">
        <v>0.62</v>
      </c>
      <c r="I95" s="14" t="n">
        <v>0.62</v>
      </c>
      <c r="J95" s="14" t="n">
        <v>0.62</v>
      </c>
    </row>
    <row r="96">
      <c r="A96" s="5" t="inlineStr">
        <is>
          <t>AI capex per watt ($)</t>
        </is>
      </c>
      <c r="B96" s="38" t="n">
        <v>36</v>
      </c>
      <c r="C96" s="38" t="n">
        <v>31</v>
      </c>
      <c r="D96" s="38" t="n">
        <v>27</v>
      </c>
      <c r="E96" s="38" t="n">
        <v>24</v>
      </c>
      <c r="F96" s="38" t="n">
        <v>22</v>
      </c>
      <c r="G96" s="38" t="n">
        <v>20</v>
      </c>
      <c r="H96" s="38" t="n">
        <v>19</v>
      </c>
      <c r="I96" s="38" t="n">
        <v>18</v>
      </c>
      <c r="J96" s="38" t="n">
        <v>18</v>
      </c>
    </row>
    <row r="97">
      <c r="A97" s="5" t="inlineStr">
        <is>
          <t>Grok / X / Cursor revenue ($bn)</t>
        </is>
      </c>
      <c r="B97" s="35" t="n">
        <v>12</v>
      </c>
      <c r="C97" s="35" t="n">
        <v>22</v>
      </c>
      <c r="D97" s="35" t="n">
        <v>35</v>
      </c>
      <c r="E97" s="35" t="n">
        <v>48</v>
      </c>
      <c r="F97" s="35" t="n">
        <v>60</v>
      </c>
      <c r="G97" s="35" t="n">
        <v>72</v>
      </c>
      <c r="H97" s="35" t="n">
        <v>84</v>
      </c>
      <c r="I97" s="35" t="n">
        <v>95</v>
      </c>
      <c r="J97" s="35" t="n">
        <v>105</v>
      </c>
    </row>
    <row r="98">
      <c r="A98" s="5" t="inlineStr">
        <is>
          <t>Apps and ads adj. EBITDA margin</t>
        </is>
      </c>
      <c r="B98" s="14" t="n">
        <v>0.15</v>
      </c>
      <c r="C98" s="14" t="n">
        <v>0.25</v>
      </c>
      <c r="D98" s="14" t="n">
        <v>0.32</v>
      </c>
      <c r="E98" s="14" t="n">
        <v>0.37</v>
      </c>
      <c r="F98" s="14" t="n">
        <v>0.4</v>
      </c>
      <c r="G98" s="14" t="n">
        <v>0.42</v>
      </c>
      <c r="H98" s="14" t="n">
        <v>0.44</v>
      </c>
      <c r="I98" s="14" t="n">
        <v>0.45</v>
      </c>
      <c r="J98" s="14" t="n">
        <v>0.45</v>
      </c>
    </row>
    <row r="99">
      <c r="A99" s="5" t="inlineStr">
        <is>
          <t>Frontier-model R&amp;D ($bn)</t>
        </is>
      </c>
      <c r="B99" s="35" t="n">
        <v>9</v>
      </c>
      <c r="C99" s="35" t="n">
        <v>11</v>
      </c>
      <c r="D99" s="35" t="n">
        <v>13</v>
      </c>
      <c r="E99" s="35" t="n">
        <v>14</v>
      </c>
      <c r="F99" s="35" t="n">
        <v>15</v>
      </c>
      <c r="G99" s="35" t="n">
        <v>15</v>
      </c>
      <c r="H99" s="35" t="n">
        <v>15</v>
      </c>
      <c r="I99" s="35" t="n">
        <v>15</v>
      </c>
      <c r="J99" s="35" t="n">
        <v>15</v>
      </c>
    </row>
    <row r="100">
      <c r="A100" s="5" t="inlineStr">
        <is>
          <t>Stock comp, % of revenue</t>
        </is>
      </c>
      <c r="B100" s="14" t="n">
        <v>0.06</v>
      </c>
      <c r="C100" s="14" t="n">
        <v>0.05</v>
      </c>
      <c r="D100" s="14" t="n">
        <v>0.045</v>
      </c>
      <c r="E100" s="14" t="n">
        <v>0.04</v>
      </c>
      <c r="F100" s="14" t="n">
        <v>0.035</v>
      </c>
      <c r="G100" s="14" t="n">
        <v>0.03</v>
      </c>
      <c r="H100" s="14" t="n">
        <v>0.03</v>
      </c>
      <c r="I100" s="14" t="n">
        <v>0.03</v>
      </c>
      <c r="J100" s="14" t="n">
        <v>0.03</v>
      </c>
    </row>
    <row r="101">
      <c r="A101" s="5" t="inlineStr">
        <is>
          <t>Spectrum payments ($bn)</t>
        </is>
      </c>
      <c r="B101" s="35" t="n">
        <v>17.3</v>
      </c>
      <c r="C101" s="35" t="n">
        <v>0</v>
      </c>
      <c r="D101" s="35" t="n">
        <v>0</v>
      </c>
      <c r="E101" s="35" t="n">
        <v>0</v>
      </c>
      <c r="F101" s="35" t="n">
        <v>0</v>
      </c>
      <c r="G101" s="35" t="n">
        <v>0</v>
      </c>
      <c r="H101" s="35" t="n">
        <v>0</v>
      </c>
      <c r="I101" s="35" t="n">
        <v>0</v>
      </c>
      <c r="J101" s="35" t="n">
        <v>0</v>
      </c>
    </row>
    <row r="104">
      <c r="A104" s="2" t="inlineStr">
        <is>
          <t>Spectrum 2027: EchoStar up to $8.5bn cash at closing + $0.828bn interest support (10-Q) + Grain 800 MHz about $8bn (WSJ-reported, not confirmed by SpaceX).</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57"/>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40" customWidth="1" min="1" max="1"/>
    <col width="2"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Model: segment build to unlevered free cash flow and DCF ($bn unless noted)</t>
        </is>
      </c>
    </row>
    <row r="2">
      <c r="A2" s="2" t="inlineStr">
        <is>
          <t>Segment margins are company-style adjusted EBITDA (before stock comp); stock comp is then deducted as a real cost. AI capex = growth GW plus replacement of 1/life of the fleet, times capex per watt.</t>
        </is>
      </c>
    </row>
    <row r="4">
      <c r="A4" s="9" t="inlineStr">
        <is>
          <t>Bear case</t>
        </is>
      </c>
    </row>
    <row r="5">
      <c r="A5" s="3" t="inlineStr">
        <is>
          <t>Line item</t>
        </is>
      </c>
      <c r="B5" s="4" t="inlineStr"/>
      <c r="C5" s="4" t="inlineStr">
        <is>
          <t>2027</t>
        </is>
      </c>
      <c r="D5" s="4" t="inlineStr">
        <is>
          <t>2028</t>
        </is>
      </c>
      <c r="E5" s="4" t="inlineStr">
        <is>
          <t>2029</t>
        </is>
      </c>
      <c r="F5" s="4" t="inlineStr">
        <is>
          <t>2030</t>
        </is>
      </c>
      <c r="G5" s="4" t="inlineStr">
        <is>
          <t>2031</t>
        </is>
      </c>
      <c r="H5" s="4" t="inlineStr">
        <is>
          <t>2032</t>
        </is>
      </c>
      <c r="I5" s="4" t="inlineStr">
        <is>
          <t>2033</t>
        </is>
      </c>
      <c r="J5" s="4" t="inlineStr">
        <is>
          <t>2034</t>
        </is>
      </c>
      <c r="K5" s="4" t="inlineStr">
        <is>
          <t>2035</t>
        </is>
      </c>
    </row>
    <row r="6">
      <c r="A6" s="5" t="inlineStr">
        <is>
          <t>Starlink subscribers, year end (mm)</t>
        </is>
      </c>
      <c r="C6" s="24">
        <f>Scenarios!B7</f>
        <v/>
      </c>
      <c r="D6" s="24">
        <f>Scenarios!C7</f>
        <v/>
      </c>
      <c r="E6" s="24">
        <f>Scenarios!D7</f>
        <v/>
      </c>
      <c r="F6" s="24">
        <f>Scenarios!E7</f>
        <v/>
      </c>
      <c r="G6" s="24">
        <f>Scenarios!F7</f>
        <v/>
      </c>
      <c r="H6" s="24">
        <f>Scenarios!G7</f>
        <v/>
      </c>
      <c r="I6" s="24">
        <f>Scenarios!H7</f>
        <v/>
      </c>
      <c r="J6" s="24">
        <f>Scenarios!I7</f>
        <v/>
      </c>
      <c r="K6" s="24">
        <f>Scenarios!J7</f>
        <v/>
      </c>
    </row>
    <row r="7">
      <c r="A7" s="5" t="inlineStr">
        <is>
          <t>Starlink ARPU ($ / month)</t>
        </is>
      </c>
      <c r="C7" s="24">
        <f>Scenarios!B8</f>
        <v/>
      </c>
      <c r="D7" s="24">
        <f>Scenarios!C8</f>
        <v/>
      </c>
      <c r="E7" s="24">
        <f>Scenarios!D8</f>
        <v/>
      </c>
      <c r="F7" s="24">
        <f>Scenarios!E8</f>
        <v/>
      </c>
      <c r="G7" s="24">
        <f>Scenarios!F8</f>
        <v/>
      </c>
      <c r="H7" s="24">
        <f>Scenarios!G8</f>
        <v/>
      </c>
      <c r="I7" s="24">
        <f>Scenarios!H8</f>
        <v/>
      </c>
      <c r="J7" s="24">
        <f>Scenarios!I8</f>
        <v/>
      </c>
      <c r="K7" s="24">
        <f>Scenarios!J8</f>
        <v/>
      </c>
    </row>
    <row r="8">
      <c r="A8" s="5" t="inlineStr">
        <is>
          <t>Consumer revenue incl. kits</t>
        </is>
      </c>
      <c r="C8" s="25">
        <f>(C6+Inputs!$C$22)/2*C7*12/1000*(1+Inputs!$C$25)</f>
        <v/>
      </c>
      <c r="D8" s="25">
        <f>(D6+C6)/2*D7*12/1000*(1+Inputs!$C$25)</f>
        <v/>
      </c>
      <c r="E8" s="25">
        <f>(E6+D6)/2*E7*12/1000*(1+Inputs!$C$25)</f>
        <v/>
      </c>
      <c r="F8" s="25">
        <f>(F6+E6)/2*F7*12/1000*(1+Inputs!$C$25)</f>
        <v/>
      </c>
      <c r="G8" s="25">
        <f>(G6+F6)/2*G7*12/1000*(1+Inputs!$C$25)</f>
        <v/>
      </c>
      <c r="H8" s="25">
        <f>(H6+G6)/2*H7*12/1000*(1+Inputs!$C$25)</f>
        <v/>
      </c>
      <c r="I8" s="25">
        <f>(I6+H6)/2*I7*12/1000*(1+Inputs!$C$25)</f>
        <v/>
      </c>
      <c r="J8" s="25">
        <f>(J6+I6)/2*J7*12/1000*(1+Inputs!$C$25)</f>
        <v/>
      </c>
      <c r="K8" s="25">
        <f>(K6+J6)/2*K7*12/1000*(1+Inputs!$C$25)</f>
        <v/>
      </c>
    </row>
    <row r="9">
      <c r="A9" s="5" t="inlineStr">
        <is>
          <t>Enterprise &amp; government</t>
        </is>
      </c>
      <c r="C9" s="26">
        <f>Scenarios!B9</f>
        <v/>
      </c>
      <c r="D9" s="26">
        <f>Scenarios!C9</f>
        <v/>
      </c>
      <c r="E9" s="26">
        <f>Scenarios!D9</f>
        <v/>
      </c>
      <c r="F9" s="26">
        <f>Scenarios!E9</f>
        <v/>
      </c>
      <c r="G9" s="26">
        <f>Scenarios!F9</f>
        <v/>
      </c>
      <c r="H9" s="26">
        <f>Scenarios!G9</f>
        <v/>
      </c>
      <c r="I9" s="26">
        <f>Scenarios!H9</f>
        <v/>
      </c>
      <c r="J9" s="26">
        <f>Scenarios!I9</f>
        <v/>
      </c>
      <c r="K9" s="26">
        <f>Scenarios!J9</f>
        <v/>
      </c>
    </row>
    <row r="10">
      <c r="A10" s="5" t="inlineStr">
        <is>
          <t>Starlink Mobile</t>
        </is>
      </c>
      <c r="C10" s="26">
        <f>Scenarios!B10</f>
        <v/>
      </c>
      <c r="D10" s="26">
        <f>Scenarios!C10</f>
        <v/>
      </c>
      <c r="E10" s="26">
        <f>Scenarios!D10</f>
        <v/>
      </c>
      <c r="F10" s="26">
        <f>Scenarios!E10</f>
        <v/>
      </c>
      <c r="G10" s="26">
        <f>Scenarios!F10</f>
        <v/>
      </c>
      <c r="H10" s="26">
        <f>Scenarios!G10</f>
        <v/>
      </c>
      <c r="I10" s="26">
        <f>Scenarios!H10</f>
        <v/>
      </c>
      <c r="J10" s="26">
        <f>Scenarios!I10</f>
        <v/>
      </c>
      <c r="K10" s="26">
        <f>Scenarios!J10</f>
        <v/>
      </c>
    </row>
    <row r="11">
      <c r="A11" s="9" t="inlineStr">
        <is>
          <t>Connectivity revenue</t>
        </is>
      </c>
      <c r="C11" s="25">
        <f>C8+C9+C10</f>
        <v/>
      </c>
      <c r="D11" s="25">
        <f>D8+D9+D10</f>
        <v/>
      </c>
      <c r="E11" s="25">
        <f>E8+E9+E10</f>
        <v/>
      </c>
      <c r="F11" s="25">
        <f>F8+F9+F10</f>
        <v/>
      </c>
      <c r="G11" s="25">
        <f>G8+G9+G10</f>
        <v/>
      </c>
      <c r="H11" s="25">
        <f>H8+H9+H10</f>
        <v/>
      </c>
      <c r="I11" s="25">
        <f>I8+I9+I10</f>
        <v/>
      </c>
      <c r="J11" s="25">
        <f>J8+J9+J10</f>
        <v/>
      </c>
      <c r="K11" s="25">
        <f>K8+K9+K10</f>
        <v/>
      </c>
    </row>
    <row r="12">
      <c r="A12" s="5" t="inlineStr">
        <is>
          <t>Space revenue</t>
        </is>
      </c>
      <c r="C12" s="26">
        <f>Scenarios!B13</f>
        <v/>
      </c>
      <c r="D12" s="26">
        <f>Scenarios!C13</f>
        <v/>
      </c>
      <c r="E12" s="26">
        <f>Scenarios!D13</f>
        <v/>
      </c>
      <c r="F12" s="26">
        <f>Scenarios!E13</f>
        <v/>
      </c>
      <c r="G12" s="26">
        <f>Scenarios!F13</f>
        <v/>
      </c>
      <c r="H12" s="26">
        <f>Scenarios!G13</f>
        <v/>
      </c>
      <c r="I12" s="26">
        <f>Scenarios!H13</f>
        <v/>
      </c>
      <c r="J12" s="26">
        <f>Scenarios!I13</f>
        <v/>
      </c>
      <c r="K12" s="26">
        <f>Scenarios!J13</f>
        <v/>
      </c>
    </row>
    <row r="13">
      <c r="A13" s="5" t="inlineStr">
        <is>
          <t>AI compute, year end (GW)</t>
        </is>
      </c>
      <c r="C13" s="24">
        <f>Scenarios!B17</f>
        <v/>
      </c>
      <c r="D13" s="24">
        <f>Scenarios!C17</f>
        <v/>
      </c>
      <c r="E13" s="24">
        <f>Scenarios!D17</f>
        <v/>
      </c>
      <c r="F13" s="24">
        <f>Scenarios!E17</f>
        <v/>
      </c>
      <c r="G13" s="24">
        <f>Scenarios!F17</f>
        <v/>
      </c>
      <c r="H13" s="24">
        <f>Scenarios!G17</f>
        <v/>
      </c>
      <c r="I13" s="24">
        <f>Scenarios!H17</f>
        <v/>
      </c>
      <c r="J13" s="24">
        <f>Scenarios!I17</f>
        <v/>
      </c>
      <c r="K13" s="24">
        <f>Scenarios!J17</f>
        <v/>
      </c>
    </row>
    <row r="14">
      <c r="A14" s="5" t="inlineStr">
        <is>
          <t>Share rented</t>
        </is>
      </c>
      <c r="C14" s="6">
        <f>Scenarios!B18</f>
        <v/>
      </c>
      <c r="D14" s="6">
        <f>Scenarios!C18</f>
        <v/>
      </c>
      <c r="E14" s="6">
        <f>Scenarios!D18</f>
        <v/>
      </c>
      <c r="F14" s="6">
        <f>Scenarios!E18</f>
        <v/>
      </c>
      <c r="G14" s="6">
        <f>Scenarios!F18</f>
        <v/>
      </c>
      <c r="H14" s="6">
        <f>Scenarios!G18</f>
        <v/>
      </c>
      <c r="I14" s="6">
        <f>Scenarios!H18</f>
        <v/>
      </c>
      <c r="J14" s="6">
        <f>Scenarios!I18</f>
        <v/>
      </c>
      <c r="K14" s="6">
        <f>Scenarios!J18</f>
        <v/>
      </c>
    </row>
    <row r="15">
      <c r="A15" s="5" t="inlineStr">
        <is>
          <t>Revenue per watt-year ($)</t>
        </is>
      </c>
      <c r="C15" s="24">
        <f>Scenarios!B19</f>
        <v/>
      </c>
      <c r="D15" s="24">
        <f>Scenarios!C19</f>
        <v/>
      </c>
      <c r="E15" s="24">
        <f>Scenarios!D19</f>
        <v/>
      </c>
      <c r="F15" s="24">
        <f>Scenarios!E19</f>
        <v/>
      </c>
      <c r="G15" s="24">
        <f>Scenarios!F19</f>
        <v/>
      </c>
      <c r="H15" s="24">
        <f>Scenarios!G19</f>
        <v/>
      </c>
      <c r="I15" s="24">
        <f>Scenarios!H19</f>
        <v/>
      </c>
      <c r="J15" s="24">
        <f>Scenarios!I19</f>
        <v/>
      </c>
      <c r="K15" s="24">
        <f>Scenarios!J19</f>
        <v/>
      </c>
    </row>
    <row r="16">
      <c r="A16" s="5" t="inlineStr">
        <is>
          <t>Cloud services revenue</t>
        </is>
      </c>
      <c r="C16" s="25">
        <f>(C13+Inputs!$C$23)/2*C14*C15</f>
        <v/>
      </c>
      <c r="D16" s="25">
        <f>(D13+C13)/2*D14*D15</f>
        <v/>
      </c>
      <c r="E16" s="25">
        <f>(E13+D13)/2*E14*E15</f>
        <v/>
      </c>
      <c r="F16" s="25">
        <f>(F13+E13)/2*F14*F15</f>
        <v/>
      </c>
      <c r="G16" s="25">
        <f>(G13+F13)/2*G14*G15</f>
        <v/>
      </c>
      <c r="H16" s="25">
        <f>(H13+G13)/2*H14*H15</f>
        <v/>
      </c>
      <c r="I16" s="25">
        <f>(I13+H13)/2*I14*I15</f>
        <v/>
      </c>
      <c r="J16" s="25">
        <f>(J13+I13)/2*J14*J15</f>
        <v/>
      </c>
      <c r="K16" s="25">
        <f>(K13+J13)/2*K14*K15</f>
        <v/>
      </c>
    </row>
    <row r="17">
      <c r="A17" s="5" t="inlineStr">
        <is>
          <t>Grok / X / Cursor revenue</t>
        </is>
      </c>
      <c r="C17" s="26">
        <f>Scenarios!B22</f>
        <v/>
      </c>
      <c r="D17" s="26">
        <f>Scenarios!C22</f>
        <v/>
      </c>
      <c r="E17" s="26">
        <f>Scenarios!D22</f>
        <v/>
      </c>
      <c r="F17" s="26">
        <f>Scenarios!E22</f>
        <v/>
      </c>
      <c r="G17" s="26">
        <f>Scenarios!F22</f>
        <v/>
      </c>
      <c r="H17" s="26">
        <f>Scenarios!G22</f>
        <v/>
      </c>
      <c r="I17" s="26">
        <f>Scenarios!H22</f>
        <v/>
      </c>
      <c r="J17" s="26">
        <f>Scenarios!I22</f>
        <v/>
      </c>
      <c r="K17" s="26">
        <f>Scenarios!J22</f>
        <v/>
      </c>
    </row>
    <row r="18">
      <c r="A18" s="9" t="inlineStr">
        <is>
          <t>AI revenue</t>
        </is>
      </c>
      <c r="C18" s="25">
        <f>C16+C17</f>
        <v/>
      </c>
      <c r="D18" s="25">
        <f>D16+D17</f>
        <v/>
      </c>
      <c r="E18" s="25">
        <f>E16+E17</f>
        <v/>
      </c>
      <c r="F18" s="25">
        <f>F16+F17</f>
        <v/>
      </c>
      <c r="G18" s="25">
        <f>G16+G17</f>
        <v/>
      </c>
      <c r="H18" s="25">
        <f>H16+H17</f>
        <v/>
      </c>
      <c r="I18" s="25">
        <f>I16+I17</f>
        <v/>
      </c>
      <c r="J18" s="25">
        <f>J16+J17</f>
        <v/>
      </c>
      <c r="K18" s="25">
        <f>K16+K17</f>
        <v/>
      </c>
    </row>
    <row r="19">
      <c r="A19" s="9" t="inlineStr">
        <is>
          <t>Total revenue</t>
        </is>
      </c>
      <c r="C19" s="25">
        <f>C11+C12+C18</f>
        <v/>
      </c>
      <c r="D19" s="25">
        <f>D11+D12+D18</f>
        <v/>
      </c>
      <c r="E19" s="25">
        <f>E11+E12+E18</f>
        <v/>
      </c>
      <c r="F19" s="25">
        <f>F11+F12+F18</f>
        <v/>
      </c>
      <c r="G19" s="25">
        <f>G11+G12+G18</f>
        <v/>
      </c>
      <c r="H19" s="25">
        <f>H11+H12+H18</f>
        <v/>
      </c>
      <c r="I19" s="25">
        <f>I11+I12+I18</f>
        <v/>
      </c>
      <c r="J19" s="25">
        <f>J11+J12+J18</f>
        <v/>
      </c>
      <c r="K19" s="25">
        <f>K11+K12+K18</f>
        <v/>
      </c>
    </row>
    <row r="20">
      <c r="A20" s="5" t="inlineStr">
        <is>
          <t>Connectivity margin</t>
        </is>
      </c>
      <c r="C20" s="6">
        <f>Scenarios!B11</f>
        <v/>
      </c>
      <c r="D20" s="6">
        <f>Scenarios!C11</f>
        <v/>
      </c>
      <c r="E20" s="6">
        <f>Scenarios!D11</f>
        <v/>
      </c>
      <c r="F20" s="6">
        <f>Scenarios!E11</f>
        <v/>
      </c>
      <c r="G20" s="6">
        <f>Scenarios!F11</f>
        <v/>
      </c>
      <c r="H20" s="6">
        <f>Scenarios!G11</f>
        <v/>
      </c>
      <c r="I20" s="6">
        <f>Scenarios!H11</f>
        <v/>
      </c>
      <c r="J20" s="6">
        <f>Scenarios!I11</f>
        <v/>
      </c>
      <c r="K20" s="6">
        <f>Scenarios!J11</f>
        <v/>
      </c>
    </row>
    <row r="21">
      <c r="A21" s="5" t="inlineStr">
        <is>
          <t>Connectivity adj. EBITDA</t>
        </is>
      </c>
      <c r="C21" s="25">
        <f>C11*C20</f>
        <v/>
      </c>
      <c r="D21" s="25">
        <f>D11*D20</f>
        <v/>
      </c>
      <c r="E21" s="25">
        <f>E11*E20</f>
        <v/>
      </c>
      <c r="F21" s="25">
        <f>F11*F20</f>
        <v/>
      </c>
      <c r="G21" s="25">
        <f>G11*G20</f>
        <v/>
      </c>
      <c r="H21" s="25">
        <f>H11*H20</f>
        <v/>
      </c>
      <c r="I21" s="25">
        <f>I11*I20</f>
        <v/>
      </c>
      <c r="J21" s="25">
        <f>J11*J20</f>
        <v/>
      </c>
      <c r="K21" s="25">
        <f>K11*K20</f>
        <v/>
      </c>
    </row>
    <row r="22">
      <c r="A22" s="5" t="inlineStr">
        <is>
          <t>Space margin before Starship R&amp;D</t>
        </is>
      </c>
      <c r="C22" s="6">
        <f>Scenarios!B14</f>
        <v/>
      </c>
      <c r="D22" s="6">
        <f>Scenarios!C14</f>
        <v/>
      </c>
      <c r="E22" s="6">
        <f>Scenarios!D14</f>
        <v/>
      </c>
      <c r="F22" s="6">
        <f>Scenarios!E14</f>
        <v/>
      </c>
      <c r="G22" s="6">
        <f>Scenarios!F14</f>
        <v/>
      </c>
      <c r="H22" s="6">
        <f>Scenarios!G14</f>
        <v/>
      </c>
      <c r="I22" s="6">
        <f>Scenarios!H14</f>
        <v/>
      </c>
      <c r="J22" s="6">
        <f>Scenarios!I14</f>
        <v/>
      </c>
      <c r="K22" s="6">
        <f>Scenarios!J14</f>
        <v/>
      </c>
    </row>
    <row r="23">
      <c r="A23" s="5" t="inlineStr">
        <is>
          <t>Starship R&amp;D</t>
        </is>
      </c>
      <c r="C23" s="26">
        <f>Scenarios!B15</f>
        <v/>
      </c>
      <c r="D23" s="26">
        <f>Scenarios!C15</f>
        <v/>
      </c>
      <c r="E23" s="26">
        <f>Scenarios!D15</f>
        <v/>
      </c>
      <c r="F23" s="26">
        <f>Scenarios!E15</f>
        <v/>
      </c>
      <c r="G23" s="26">
        <f>Scenarios!F15</f>
        <v/>
      </c>
      <c r="H23" s="26">
        <f>Scenarios!G15</f>
        <v/>
      </c>
      <c r="I23" s="26">
        <f>Scenarios!H15</f>
        <v/>
      </c>
      <c r="J23" s="26">
        <f>Scenarios!I15</f>
        <v/>
      </c>
      <c r="K23" s="26">
        <f>Scenarios!J15</f>
        <v/>
      </c>
    </row>
    <row r="24">
      <c r="A24" s="5" t="inlineStr">
        <is>
          <t>Space adj. EBITDA</t>
        </is>
      </c>
      <c r="C24" s="25">
        <f>C12*C22-C23</f>
        <v/>
      </c>
      <c r="D24" s="25">
        <f>D12*D22-D23</f>
        <v/>
      </c>
      <c r="E24" s="25">
        <f>E12*E22-E23</f>
        <v/>
      </c>
      <c r="F24" s="25">
        <f>F12*F22-F23</f>
        <v/>
      </c>
      <c r="G24" s="25">
        <f>G12*G22-G23</f>
        <v/>
      </c>
      <c r="H24" s="25">
        <f>H12*H22-H23</f>
        <v/>
      </c>
      <c r="I24" s="25">
        <f>I12*I22-I23</f>
        <v/>
      </c>
      <c r="J24" s="25">
        <f>J12*J22-J23</f>
        <v/>
      </c>
      <c r="K24" s="25">
        <f>K12*K22-K23</f>
        <v/>
      </c>
    </row>
    <row r="25">
      <c r="A25" s="5" t="inlineStr">
        <is>
          <t>Cloud margin</t>
        </is>
      </c>
      <c r="C25" s="6">
        <f>Scenarios!B20</f>
        <v/>
      </c>
      <c r="D25" s="6">
        <f>Scenarios!C20</f>
        <v/>
      </c>
      <c r="E25" s="6">
        <f>Scenarios!D20</f>
        <v/>
      </c>
      <c r="F25" s="6">
        <f>Scenarios!E20</f>
        <v/>
      </c>
      <c r="G25" s="6">
        <f>Scenarios!F20</f>
        <v/>
      </c>
      <c r="H25" s="6">
        <f>Scenarios!G20</f>
        <v/>
      </c>
      <c r="I25" s="6">
        <f>Scenarios!H20</f>
        <v/>
      </c>
      <c r="J25" s="6">
        <f>Scenarios!I20</f>
        <v/>
      </c>
      <c r="K25" s="6">
        <f>Scenarios!J20</f>
        <v/>
      </c>
    </row>
    <row r="26">
      <c r="A26" s="5" t="inlineStr">
        <is>
          <t>Apps and ads margin</t>
        </is>
      </c>
      <c r="C26" s="6">
        <f>Scenarios!B23</f>
        <v/>
      </c>
      <c r="D26" s="6">
        <f>Scenarios!C23</f>
        <v/>
      </c>
      <c r="E26" s="6">
        <f>Scenarios!D23</f>
        <v/>
      </c>
      <c r="F26" s="6">
        <f>Scenarios!E23</f>
        <v/>
      </c>
      <c r="G26" s="6">
        <f>Scenarios!F23</f>
        <v/>
      </c>
      <c r="H26" s="6">
        <f>Scenarios!G23</f>
        <v/>
      </c>
      <c r="I26" s="6">
        <f>Scenarios!H23</f>
        <v/>
      </c>
      <c r="J26" s="6">
        <f>Scenarios!I23</f>
        <v/>
      </c>
      <c r="K26" s="6">
        <f>Scenarios!J23</f>
        <v/>
      </c>
    </row>
    <row r="27">
      <c r="A27" s="5" t="inlineStr">
        <is>
          <t>Frontier-model R&amp;D</t>
        </is>
      </c>
      <c r="C27" s="26">
        <f>Scenarios!B24</f>
        <v/>
      </c>
      <c r="D27" s="26">
        <f>Scenarios!C24</f>
        <v/>
      </c>
      <c r="E27" s="26">
        <f>Scenarios!D24</f>
        <v/>
      </c>
      <c r="F27" s="26">
        <f>Scenarios!E24</f>
        <v/>
      </c>
      <c r="G27" s="26">
        <f>Scenarios!F24</f>
        <v/>
      </c>
      <c r="H27" s="26">
        <f>Scenarios!G24</f>
        <v/>
      </c>
      <c r="I27" s="26">
        <f>Scenarios!H24</f>
        <v/>
      </c>
      <c r="J27" s="26">
        <f>Scenarios!I24</f>
        <v/>
      </c>
      <c r="K27" s="26">
        <f>Scenarios!J24</f>
        <v/>
      </c>
    </row>
    <row r="28">
      <c r="A28" s="5" t="inlineStr">
        <is>
          <t>AI adj. EBITDA</t>
        </is>
      </c>
      <c r="C28" s="25">
        <f>C16*C25+C17*C26-C27</f>
        <v/>
      </c>
      <c r="D28" s="25">
        <f>D16*D25+D17*D26-D27</f>
        <v/>
      </c>
      <c r="E28" s="25">
        <f>E16*E25+E17*E26-E27</f>
        <v/>
      </c>
      <c r="F28" s="25">
        <f>F16*F25+F17*F26-F27</f>
        <v/>
      </c>
      <c r="G28" s="25">
        <f>G16*G25+G17*G26-G27</f>
        <v/>
      </c>
      <c r="H28" s="25">
        <f>H16*H25+H17*H26-H27</f>
        <v/>
      </c>
      <c r="I28" s="25">
        <f>I16*I25+I17*I26-I27</f>
        <v/>
      </c>
      <c r="J28" s="25">
        <f>J16*J25+J17*J26-J27</f>
        <v/>
      </c>
      <c r="K28" s="25">
        <f>K16*K25+K17*K26-K27</f>
        <v/>
      </c>
    </row>
    <row r="29">
      <c r="A29" s="9" t="inlineStr">
        <is>
          <t>Adjusted EBITDA (before stock comp)</t>
        </is>
      </c>
      <c r="C29" s="25">
        <f>C21+C24+C28</f>
        <v/>
      </c>
      <c r="D29" s="25">
        <f>D21+D24+D28</f>
        <v/>
      </c>
      <c r="E29" s="25">
        <f>E21+E24+E28</f>
        <v/>
      </c>
      <c r="F29" s="25">
        <f>F21+F24+F28</f>
        <v/>
      </c>
      <c r="G29" s="25">
        <f>G21+G24+G28</f>
        <v/>
      </c>
      <c r="H29" s="25">
        <f>H21+H24+H28</f>
        <v/>
      </c>
      <c r="I29" s="25">
        <f>I21+I24+I28</f>
        <v/>
      </c>
      <c r="J29" s="25">
        <f>J21+J24+J28</f>
        <v/>
      </c>
      <c r="K29" s="25">
        <f>K21+K24+K28</f>
        <v/>
      </c>
    </row>
    <row r="30">
      <c r="A30" s="5" t="inlineStr">
        <is>
          <t>Stock comp, % of revenue</t>
        </is>
      </c>
      <c r="C30" s="6">
        <f>Scenarios!B25</f>
        <v/>
      </c>
      <c r="D30" s="6">
        <f>Scenarios!C25</f>
        <v/>
      </c>
      <c r="E30" s="6">
        <f>Scenarios!D25</f>
        <v/>
      </c>
      <c r="F30" s="6">
        <f>Scenarios!E25</f>
        <v/>
      </c>
      <c r="G30" s="6">
        <f>Scenarios!F25</f>
        <v/>
      </c>
      <c r="H30" s="6">
        <f>Scenarios!G25</f>
        <v/>
      </c>
      <c r="I30" s="6">
        <f>Scenarios!H25</f>
        <v/>
      </c>
      <c r="J30" s="6">
        <f>Scenarios!I25</f>
        <v/>
      </c>
      <c r="K30" s="6">
        <f>Scenarios!J25</f>
        <v/>
      </c>
    </row>
    <row r="31">
      <c r="A31" s="5" t="inlineStr">
        <is>
          <t>Stock-based compensation</t>
        </is>
      </c>
      <c r="C31" s="25">
        <f>C19*C30</f>
        <v/>
      </c>
      <c r="D31" s="25">
        <f>D19*D30</f>
        <v/>
      </c>
      <c r="E31" s="25">
        <f>E19*E30</f>
        <v/>
      </c>
      <c r="F31" s="25">
        <f>F19*F30</f>
        <v/>
      </c>
      <c r="G31" s="25">
        <f>G19*G30</f>
        <v/>
      </c>
      <c r="H31" s="25">
        <f>H19*H30</f>
        <v/>
      </c>
      <c r="I31" s="25">
        <f>I19*I30</f>
        <v/>
      </c>
      <c r="J31" s="25">
        <f>J19*J30</f>
        <v/>
      </c>
      <c r="K31" s="25">
        <f>K19*K30</f>
        <v/>
      </c>
    </row>
    <row r="32">
      <c r="A32" s="9" t="inlineStr">
        <is>
          <t>EBITDA after stock comp</t>
        </is>
      </c>
      <c r="C32" s="25">
        <f>C29-C31</f>
        <v/>
      </c>
      <c r="D32" s="25">
        <f>D29-D31</f>
        <v/>
      </c>
      <c r="E32" s="25">
        <f>E29-E31</f>
        <v/>
      </c>
      <c r="F32" s="25">
        <f>F29-F31</f>
        <v/>
      </c>
      <c r="G32" s="25">
        <f>G29-G31</f>
        <v/>
      </c>
      <c r="H32" s="25">
        <f>H29-H31</f>
        <v/>
      </c>
      <c r="I32" s="25">
        <f>I29-I31</f>
        <v/>
      </c>
      <c r="J32" s="25">
        <f>J29-J31</f>
        <v/>
      </c>
      <c r="K32" s="25">
        <f>K29-K31</f>
        <v/>
      </c>
    </row>
    <row r="33">
      <c r="A33" s="5" t="inlineStr">
        <is>
          <t>AI capex per watt ($)</t>
        </is>
      </c>
      <c r="C33" s="24">
        <f>Scenarios!B21</f>
        <v/>
      </c>
      <c r="D33" s="24">
        <f>Scenarios!C21</f>
        <v/>
      </c>
      <c r="E33" s="24">
        <f>Scenarios!D21</f>
        <v/>
      </c>
      <c r="F33" s="24">
        <f>Scenarios!E21</f>
        <v/>
      </c>
      <c r="G33" s="24">
        <f>Scenarios!F21</f>
        <v/>
      </c>
      <c r="H33" s="24">
        <f>Scenarios!G21</f>
        <v/>
      </c>
      <c r="I33" s="24">
        <f>Scenarios!H21</f>
        <v/>
      </c>
      <c r="J33" s="24">
        <f>Scenarios!I21</f>
        <v/>
      </c>
      <c r="K33" s="24">
        <f>Scenarios!J21</f>
        <v/>
      </c>
    </row>
    <row r="34">
      <c r="A34" s="5" t="inlineStr">
        <is>
          <t>AI depreciation</t>
        </is>
      </c>
      <c r="C34" s="25">
        <f>(C13+Inputs!$C$23)/2*C33/Inputs!$C$27</f>
        <v/>
      </c>
      <c r="D34" s="25">
        <f>(D13+C13)/2*D33/Inputs!$C$27</f>
        <v/>
      </c>
      <c r="E34" s="25">
        <f>(E13+D13)/2*E33/Inputs!$C$27</f>
        <v/>
      </c>
      <c r="F34" s="25">
        <f>(F13+E13)/2*F33/Inputs!$C$27</f>
        <v/>
      </c>
      <c r="G34" s="25">
        <f>(G13+F13)/2*G33/Inputs!$C$27</f>
        <v/>
      </c>
      <c r="H34" s="25">
        <f>(H13+G13)/2*H33/Inputs!$C$27</f>
        <v/>
      </c>
      <c r="I34" s="25">
        <f>(I13+H13)/2*I33/Inputs!$C$27</f>
        <v/>
      </c>
      <c r="J34" s="25">
        <f>(J13+I13)/2*J33/Inputs!$C$27</f>
        <v/>
      </c>
      <c r="K34" s="25">
        <f>(K13+J13)/2*K33/Inputs!$C$27</f>
        <v/>
      </c>
    </row>
    <row r="35">
      <c r="A35" s="5" t="inlineStr">
        <is>
          <t>Depreciation &amp; amortization</t>
        </is>
      </c>
      <c r="C35" s="25">
        <f>(C11+C12)*Inputs!$C$26+C34</f>
        <v/>
      </c>
      <c r="D35" s="25">
        <f>(D11+D12)*Inputs!$C$26+D34</f>
        <v/>
      </c>
      <c r="E35" s="25">
        <f>(E11+E12)*Inputs!$C$26+E34</f>
        <v/>
      </c>
      <c r="F35" s="25">
        <f>(F11+F12)*Inputs!$C$26+F34</f>
        <v/>
      </c>
      <c r="G35" s="25">
        <f>(G11+G12)*Inputs!$C$26+G34</f>
        <v/>
      </c>
      <c r="H35" s="25">
        <f>(H11+H12)*Inputs!$C$26+H34</f>
        <v/>
      </c>
      <c r="I35" s="25">
        <f>(I11+I12)*Inputs!$C$26+I34</f>
        <v/>
      </c>
      <c r="J35" s="25">
        <f>(J11+J12)*Inputs!$C$26+J34</f>
        <v/>
      </c>
      <c r="K35" s="25">
        <f>(K11+K12)*Inputs!$C$26+K34</f>
        <v/>
      </c>
    </row>
    <row r="36">
      <c r="A36" s="9" t="inlineStr">
        <is>
          <t>EBIT</t>
        </is>
      </c>
      <c r="C36" s="25">
        <f>C32-C35</f>
        <v/>
      </c>
      <c r="D36" s="25">
        <f>D32-D35</f>
        <v/>
      </c>
      <c r="E36" s="25">
        <f>E32-E35</f>
        <v/>
      </c>
      <c r="F36" s="25">
        <f>F32-F35</f>
        <v/>
      </c>
      <c r="G36" s="25">
        <f>G32-G35</f>
        <v/>
      </c>
      <c r="H36" s="25">
        <f>H32-H35</f>
        <v/>
      </c>
      <c r="I36" s="25">
        <f>I32-I35</f>
        <v/>
      </c>
      <c r="J36" s="25">
        <f>J32-J35</f>
        <v/>
      </c>
      <c r="K36" s="25">
        <f>K32-K35</f>
        <v/>
      </c>
    </row>
    <row r="37">
      <c r="A37" s="5" t="inlineStr">
        <is>
          <t>EBIT margin</t>
        </is>
      </c>
      <c r="C37" s="8">
        <f>IF(C19=0,0,C36/C19)</f>
        <v/>
      </c>
      <c r="D37" s="8">
        <f>IF(D19=0,0,D36/D19)</f>
        <v/>
      </c>
      <c r="E37" s="8">
        <f>IF(E19=0,0,E36/E19)</f>
        <v/>
      </c>
      <c r="F37" s="8">
        <f>IF(F19=0,0,F36/F19)</f>
        <v/>
      </c>
      <c r="G37" s="8">
        <f>IF(G19=0,0,G36/G19)</f>
        <v/>
      </c>
      <c r="H37" s="8">
        <f>IF(H19=0,0,H36/H19)</f>
        <v/>
      </c>
      <c r="I37" s="8">
        <f>IF(I19=0,0,I36/I19)</f>
        <v/>
      </c>
      <c r="J37" s="8">
        <f>IF(J19=0,0,J36/J19)</f>
        <v/>
      </c>
      <c r="K37" s="8">
        <f>IF(K19=0,0,K36/K19)</f>
        <v/>
      </c>
    </row>
    <row r="38">
      <c r="A38" s="5" t="inlineStr">
        <is>
          <t>AI capex</t>
        </is>
      </c>
      <c r="C38" s="25">
        <f>MAX(0,C13-Inputs!$C$23*(1-1/Inputs!$C$27))*C33</f>
        <v/>
      </c>
      <c r="D38" s="25">
        <f>MAX(0,D13-C13*(1-1/Inputs!$C$27))*D33</f>
        <v/>
      </c>
      <c r="E38" s="25">
        <f>MAX(0,E13-D13*(1-1/Inputs!$C$27))*E33</f>
        <v/>
      </c>
      <c r="F38" s="25">
        <f>MAX(0,F13-E13*(1-1/Inputs!$C$27))*F33</f>
        <v/>
      </c>
      <c r="G38" s="25">
        <f>MAX(0,G13-F13*(1-1/Inputs!$C$27))*G33</f>
        <v/>
      </c>
      <c r="H38" s="25">
        <f>MAX(0,H13-G13*(1-1/Inputs!$C$27))*H33</f>
        <v/>
      </c>
      <c r="I38" s="25">
        <f>MAX(0,I13-H13*(1-1/Inputs!$C$27))*I33</f>
        <v/>
      </c>
      <c r="J38" s="25">
        <f>MAX(0,J13-I13*(1-1/Inputs!$C$27))*J33</f>
        <v/>
      </c>
      <c r="K38" s="25">
        <f>MAX(0,K13-J13*(1-1/Inputs!$C$27))*K33</f>
        <v/>
      </c>
    </row>
    <row r="39">
      <c r="A39" s="5" t="inlineStr">
        <is>
          <t>Connectivity capex, % of revenue</t>
        </is>
      </c>
      <c r="C39" s="6">
        <f>Scenarios!B12</f>
        <v/>
      </c>
      <c r="D39" s="6">
        <f>Scenarios!C12</f>
        <v/>
      </c>
      <c r="E39" s="6">
        <f>Scenarios!D12</f>
        <v/>
      </c>
      <c r="F39" s="6">
        <f>Scenarios!E12</f>
        <v/>
      </c>
      <c r="G39" s="6">
        <f>Scenarios!F12</f>
        <v/>
      </c>
      <c r="H39" s="6">
        <f>Scenarios!G12</f>
        <v/>
      </c>
      <c r="I39" s="6">
        <f>Scenarios!H12</f>
        <v/>
      </c>
      <c r="J39" s="6">
        <f>Scenarios!I12</f>
        <v/>
      </c>
      <c r="K39" s="6">
        <f>Scenarios!J12</f>
        <v/>
      </c>
    </row>
    <row r="40">
      <c r="A40" s="5" t="inlineStr">
        <is>
          <t>Connectivity capex</t>
        </is>
      </c>
      <c r="C40" s="25">
        <f>C11*C39</f>
        <v/>
      </c>
      <c r="D40" s="25">
        <f>D11*D39</f>
        <v/>
      </c>
      <c r="E40" s="25">
        <f>E11*E39</f>
        <v/>
      </c>
      <c r="F40" s="25">
        <f>F11*F39</f>
        <v/>
      </c>
      <c r="G40" s="25">
        <f>G11*G39</f>
        <v/>
      </c>
      <c r="H40" s="25">
        <f>H11*H39</f>
        <v/>
      </c>
      <c r="I40" s="25">
        <f>I11*I39</f>
        <v/>
      </c>
      <c r="J40" s="25">
        <f>J11*J39</f>
        <v/>
      </c>
      <c r="K40" s="25">
        <f>K11*K39</f>
        <v/>
      </c>
    </row>
    <row r="41">
      <c r="A41" s="5" t="inlineStr">
        <is>
          <t>Space capex</t>
        </is>
      </c>
      <c r="C41" s="26">
        <f>Scenarios!B16</f>
        <v/>
      </c>
      <c r="D41" s="26">
        <f>Scenarios!C16</f>
        <v/>
      </c>
      <c r="E41" s="26">
        <f>Scenarios!D16</f>
        <v/>
      </c>
      <c r="F41" s="26">
        <f>Scenarios!E16</f>
        <v/>
      </c>
      <c r="G41" s="26">
        <f>Scenarios!F16</f>
        <v/>
      </c>
      <c r="H41" s="26">
        <f>Scenarios!G16</f>
        <v/>
      </c>
      <c r="I41" s="26">
        <f>Scenarios!H16</f>
        <v/>
      </c>
      <c r="J41" s="26">
        <f>Scenarios!I16</f>
        <v/>
      </c>
      <c r="K41" s="26">
        <f>Scenarios!J16</f>
        <v/>
      </c>
    </row>
    <row r="42">
      <c r="A42" s="9" t="inlineStr">
        <is>
          <t>Capital expenditures</t>
        </is>
      </c>
      <c r="C42" s="25">
        <f>C38+C40+C41</f>
        <v/>
      </c>
      <c r="D42" s="25">
        <f>D38+D40+D41</f>
        <v/>
      </c>
      <c r="E42" s="25">
        <f>E38+E40+E41</f>
        <v/>
      </c>
      <c r="F42" s="25">
        <f>F38+F40+F41</f>
        <v/>
      </c>
      <c r="G42" s="25">
        <f>G38+G40+G41</f>
        <v/>
      </c>
      <c r="H42" s="25">
        <f>H38+H40+H41</f>
        <v/>
      </c>
      <c r="I42" s="25">
        <f>I38+I40+I41</f>
        <v/>
      </c>
      <c r="J42" s="25">
        <f>J38+J40+J41</f>
        <v/>
      </c>
      <c r="K42" s="25">
        <f>K38+K40+K41</f>
        <v/>
      </c>
    </row>
    <row r="43">
      <c r="A43" s="5" t="inlineStr">
        <is>
          <t>Net operating losses, start</t>
        </is>
      </c>
      <c r="C43" s="25">
        <f>Inputs!$C$28</f>
        <v/>
      </c>
      <c r="D43" s="25">
        <f>C46</f>
        <v/>
      </c>
      <c r="E43" s="25">
        <f>D46</f>
        <v/>
      </c>
      <c r="F43" s="25">
        <f>E46</f>
        <v/>
      </c>
      <c r="G43" s="25">
        <f>F46</f>
        <v/>
      </c>
      <c r="H43" s="25">
        <f>G46</f>
        <v/>
      </c>
      <c r="I43" s="25">
        <f>H46</f>
        <v/>
      </c>
      <c r="J43" s="25">
        <f>I46</f>
        <v/>
      </c>
      <c r="K43" s="25">
        <f>J46</f>
        <v/>
      </c>
    </row>
    <row r="44">
      <c r="A44" s="5" t="inlineStr">
        <is>
          <t>Losses used</t>
        </is>
      </c>
      <c r="C44" s="25">
        <f>MIN(C43,MAX(0,C36))</f>
        <v/>
      </c>
      <c r="D44" s="25">
        <f>MIN(D43,MAX(0,D36))</f>
        <v/>
      </c>
      <c r="E44" s="25">
        <f>MIN(E43,MAX(0,E36))</f>
        <v/>
      </c>
      <c r="F44" s="25">
        <f>MIN(F43,MAX(0,F36))</f>
        <v/>
      </c>
      <c r="G44" s="25">
        <f>MIN(G43,MAX(0,G36))</f>
        <v/>
      </c>
      <c r="H44" s="25">
        <f>MIN(H43,MAX(0,H36))</f>
        <v/>
      </c>
      <c r="I44" s="25">
        <f>MIN(I43,MAX(0,I36))</f>
        <v/>
      </c>
      <c r="J44" s="25">
        <f>MIN(J43,MAX(0,J36))</f>
        <v/>
      </c>
      <c r="K44" s="25">
        <f>MIN(K43,MAX(0,K36))</f>
        <v/>
      </c>
    </row>
    <row r="45">
      <c r="A45" s="5" t="inlineStr">
        <is>
          <t>Cash taxes</t>
        </is>
      </c>
      <c r="C45" s="25">
        <f>Inputs!$C$29*MAX(0,C36-C44)</f>
        <v/>
      </c>
      <c r="D45" s="25">
        <f>Inputs!$C$29*MAX(0,D36-D44)</f>
        <v/>
      </c>
      <c r="E45" s="25">
        <f>Inputs!$C$29*MAX(0,E36-E44)</f>
        <v/>
      </c>
      <c r="F45" s="25">
        <f>Inputs!$C$29*MAX(0,F36-F44)</f>
        <v/>
      </c>
      <c r="G45" s="25">
        <f>Inputs!$C$29*MAX(0,G36-G44)</f>
        <v/>
      </c>
      <c r="H45" s="25">
        <f>Inputs!$C$29*MAX(0,H36-H44)</f>
        <v/>
      </c>
      <c r="I45" s="25">
        <f>Inputs!$C$29*MAX(0,I36-I44)</f>
        <v/>
      </c>
      <c r="J45" s="25">
        <f>Inputs!$C$29*MAX(0,J36-J44)</f>
        <v/>
      </c>
      <c r="K45" s="25">
        <f>Inputs!$C$29*MAX(0,K36-K44)</f>
        <v/>
      </c>
    </row>
    <row r="46">
      <c r="A46" s="5" t="inlineStr">
        <is>
          <t>Net operating losses, end</t>
        </is>
      </c>
      <c r="C46" s="25">
        <f>C43-C44+MAX(0,-C36)</f>
        <v/>
      </c>
      <c r="D46" s="25">
        <f>D43-D44+MAX(0,-D36)</f>
        <v/>
      </c>
      <c r="E46" s="25">
        <f>E43-E44+MAX(0,-E36)</f>
        <v/>
      </c>
      <c r="F46" s="25">
        <f>F43-F44+MAX(0,-F36)</f>
        <v/>
      </c>
      <c r="G46" s="25">
        <f>G43-G44+MAX(0,-G36)</f>
        <v/>
      </c>
      <c r="H46" s="25">
        <f>H43-H44+MAX(0,-H36)</f>
        <v/>
      </c>
      <c r="I46" s="25">
        <f>I43-I44+MAX(0,-I36)</f>
        <v/>
      </c>
      <c r="J46" s="25">
        <f>J43-J44+MAX(0,-J36)</f>
        <v/>
      </c>
      <c r="K46" s="25">
        <f>K43-K44+MAX(0,-K36)</f>
        <v/>
      </c>
    </row>
    <row r="47">
      <c r="A47" s="5" t="inlineStr">
        <is>
          <t>Spectrum payments</t>
        </is>
      </c>
      <c r="C47" s="26">
        <f>Scenarios!B26</f>
        <v/>
      </c>
      <c r="D47" s="26">
        <f>Scenarios!C26</f>
        <v/>
      </c>
      <c r="E47" s="26">
        <f>Scenarios!D26</f>
        <v/>
      </c>
      <c r="F47" s="26">
        <f>Scenarios!E26</f>
        <v/>
      </c>
      <c r="G47" s="26">
        <f>Scenarios!F26</f>
        <v/>
      </c>
      <c r="H47" s="26">
        <f>Scenarios!G26</f>
        <v/>
      </c>
      <c r="I47" s="26">
        <f>Scenarios!H26</f>
        <v/>
      </c>
      <c r="J47" s="26">
        <f>Scenarios!I26</f>
        <v/>
      </c>
      <c r="K47" s="26">
        <f>Scenarios!J26</f>
        <v/>
      </c>
    </row>
    <row r="48">
      <c r="A48" s="9" t="inlineStr">
        <is>
          <t>Unlevered free cash flow</t>
        </is>
      </c>
      <c r="C48" s="25">
        <f>C32-C45-C42-C47</f>
        <v/>
      </c>
      <c r="D48" s="25">
        <f>D32-D45-D42-D47</f>
        <v/>
      </c>
      <c r="E48" s="25">
        <f>E32-E45-E42-E47</f>
        <v/>
      </c>
      <c r="F48" s="25">
        <f>F32-F45-F42-F47</f>
        <v/>
      </c>
      <c r="G48" s="25">
        <f>G32-G45-G42-G47</f>
        <v/>
      </c>
      <c r="H48" s="25">
        <f>H32-H45-H42-H47</f>
        <v/>
      </c>
      <c r="I48" s="25">
        <f>I32-I45-I42-I47</f>
        <v/>
      </c>
      <c r="J48" s="25">
        <f>J32-J45-J42-J47</f>
        <v/>
      </c>
      <c r="K48" s="25">
        <f>K32-K45-K42-K47</f>
        <v/>
      </c>
    </row>
    <row r="49">
      <c r="A49" s="5" t="inlineStr">
        <is>
          <t>Discount period (years)</t>
        </is>
      </c>
      <c r="C49" s="27">
        <f>2027+0.5-Inputs!$C$21</f>
        <v/>
      </c>
      <c r="D49" s="27">
        <f>2028+0.5-Inputs!$C$21</f>
        <v/>
      </c>
      <c r="E49" s="27">
        <f>2029+0.5-Inputs!$C$21</f>
        <v/>
      </c>
      <c r="F49" s="27">
        <f>2030+0.5-Inputs!$C$21</f>
        <v/>
      </c>
      <c r="G49" s="27">
        <f>2031+0.5-Inputs!$C$21</f>
        <v/>
      </c>
      <c r="H49" s="27">
        <f>2032+0.5-Inputs!$C$21</f>
        <v/>
      </c>
      <c r="I49" s="27">
        <f>2033+0.5-Inputs!$C$21</f>
        <v/>
      </c>
      <c r="J49" s="27">
        <f>2034+0.5-Inputs!$C$21</f>
        <v/>
      </c>
      <c r="K49" s="27">
        <f>2035+0.5-Inputs!$C$21</f>
        <v/>
      </c>
    </row>
    <row r="50">
      <c r="A50" s="5" t="inlineStr">
        <is>
          <t>Discount factor</t>
        </is>
      </c>
      <c r="C50" s="28">
        <f>1/(1+Inputs!$C$38)^C49</f>
        <v/>
      </c>
      <c r="D50" s="28">
        <f>1/(1+Inputs!$C$38)^D49</f>
        <v/>
      </c>
      <c r="E50" s="28">
        <f>1/(1+Inputs!$C$38)^E49</f>
        <v/>
      </c>
      <c r="F50" s="28">
        <f>1/(1+Inputs!$C$38)^F49</f>
        <v/>
      </c>
      <c r="G50" s="28">
        <f>1/(1+Inputs!$C$38)^G49</f>
        <v/>
      </c>
      <c r="H50" s="28">
        <f>1/(1+Inputs!$C$38)^H49</f>
        <v/>
      </c>
      <c r="I50" s="28">
        <f>1/(1+Inputs!$C$38)^I49</f>
        <v/>
      </c>
      <c r="J50" s="28">
        <f>1/(1+Inputs!$C$38)^J49</f>
        <v/>
      </c>
      <c r="K50" s="28">
        <f>1/(1+Inputs!$C$38)^K49</f>
        <v/>
      </c>
    </row>
    <row r="51">
      <c r="A51" s="9" t="inlineStr">
        <is>
          <t>PV of unlevered FCF</t>
        </is>
      </c>
      <c r="C51" s="25">
        <f>C48*C50</f>
        <v/>
      </c>
      <c r="D51" s="25">
        <f>D48*D50</f>
        <v/>
      </c>
      <c r="E51" s="25">
        <f>E48*E50</f>
        <v/>
      </c>
      <c r="F51" s="25">
        <f>F48*F50</f>
        <v/>
      </c>
      <c r="G51" s="25">
        <f>G48*G50</f>
        <v/>
      </c>
      <c r="H51" s="25">
        <f>H48*H50</f>
        <v/>
      </c>
      <c r="I51" s="25">
        <f>I48*I50</f>
        <v/>
      </c>
      <c r="J51" s="25">
        <f>J48*J50</f>
        <v/>
      </c>
      <c r="K51" s="25">
        <f>K48*K50</f>
        <v/>
      </c>
    </row>
    <row r="53">
      <c r="A53" s="5" t="inlineStr">
        <is>
          <t>Normalized terminal FCF (2035)</t>
        </is>
      </c>
      <c r="C53" s="25">
        <f>K36*(1-Inputs!$C$42)+K35*(1-Inputs!$C$43)-Inputs!$C$44*K19*Inputs!$C$41</f>
        <v/>
      </c>
    </row>
    <row r="54">
      <c r="A54" s="5" t="inlineStr">
        <is>
          <t>Terminal value, exit multiple</t>
        </is>
      </c>
      <c r="C54" s="25">
        <f>K32*Inputs!$C$40</f>
        <v/>
      </c>
    </row>
    <row r="55">
      <c r="A55" s="5" t="inlineStr">
        <is>
          <t>Terminal value, perpetual growth (cross-check)</t>
        </is>
      </c>
      <c r="C55" s="25">
        <f>$C$53*(1+Inputs!$C$41)/(Inputs!$C$38-Inputs!$C$41)</f>
        <v/>
      </c>
    </row>
    <row r="56">
      <c r="A56" s="5" t="inlineStr">
        <is>
          <t>PV of 2027-2035 FCF + H2 2026 stub</t>
        </is>
      </c>
      <c r="C56" s="25">
        <f>SUM(C51:K51)+Inputs!$C$20</f>
        <v/>
      </c>
    </row>
    <row r="57">
      <c r="A57" s="5" t="inlineStr">
        <is>
          <t>PV of terminal value (exit multiple, end-2035 value)</t>
        </is>
      </c>
      <c r="C57" s="25">
        <f>$C$54/(1+Inputs!$C$38)^(K49+0.5)</f>
        <v/>
      </c>
    </row>
    <row r="58">
      <c r="A58" s="29" t="inlineStr">
        <is>
          <t>Enterprise value</t>
        </is>
      </c>
      <c r="C58" s="30">
        <f>$C$56+$C$57</f>
        <v/>
      </c>
    </row>
    <row r="59">
      <c r="A59" s="5" t="inlineStr">
        <is>
          <t>Equity value</t>
        </is>
      </c>
      <c r="C59" s="25">
        <f>$C$58+Inputs!$C$17</f>
        <v/>
      </c>
    </row>
    <row r="60">
      <c r="A60" s="5" t="inlineStr">
        <is>
          <t>DCF value per share ($)</t>
        </is>
      </c>
      <c r="C60" s="11">
        <f>MAX(0,$C$59*1000/Inputs!$C$12)</f>
        <v/>
      </c>
    </row>
    <row r="61">
      <c r="A61" s="5" t="inlineStr">
        <is>
          <t>Strategic floor per share ($)</t>
        </is>
      </c>
      <c r="C61" s="18" t="n">
        <v>0</v>
      </c>
    </row>
    <row r="62">
      <c r="A62" s="29" t="inlineStr">
        <is>
          <t>Value per share ($)</t>
        </is>
      </c>
      <c r="C62" s="31">
        <f>MAX($C$60,$C$61)</f>
        <v/>
      </c>
    </row>
    <row r="63">
      <c r="A63" s="5" t="inlineStr">
        <is>
          <t>Cross-check: value per share at perpetual growth ($)</t>
        </is>
      </c>
      <c r="C63" s="11">
        <f>MAX(0,($C$56+$C$55*K50+Inputs!$C$17)*1000/Inputs!$C$12)</f>
        <v/>
      </c>
    </row>
    <row r="64">
      <c r="A64" s="5" t="inlineStr">
        <is>
          <t>Perpetual growth implied by the exit multiple</t>
        </is>
      </c>
      <c r="C64" s="8">
        <f>($C$54*Inputs!$C$38-$C$53)/($C$54+$C$53)</f>
        <v/>
      </c>
    </row>
    <row r="65">
      <c r="A65" s="5" t="inlineStr">
        <is>
          <t>Value per share excl. Musk unvested shares ($)</t>
        </is>
      </c>
      <c r="C65" s="11">
        <f>MAX(0,$C$59*1000/Inputs!$C$13)</f>
        <v/>
      </c>
    </row>
    <row r="68">
      <c r="A68" s="9" t="inlineStr">
        <is>
          <t>Base case</t>
        </is>
      </c>
    </row>
    <row r="69">
      <c r="A69" s="3" t="inlineStr">
        <is>
          <t>Line item</t>
        </is>
      </c>
      <c r="B69" s="4" t="inlineStr"/>
      <c r="C69" s="4" t="inlineStr">
        <is>
          <t>2027</t>
        </is>
      </c>
      <c r="D69" s="4" t="inlineStr">
        <is>
          <t>2028</t>
        </is>
      </c>
      <c r="E69" s="4" t="inlineStr">
        <is>
          <t>2029</t>
        </is>
      </c>
      <c r="F69" s="4" t="inlineStr">
        <is>
          <t>2030</t>
        </is>
      </c>
      <c r="G69" s="4" t="inlineStr">
        <is>
          <t>2031</t>
        </is>
      </c>
      <c r="H69" s="4" t="inlineStr">
        <is>
          <t>2032</t>
        </is>
      </c>
      <c r="I69" s="4" t="inlineStr">
        <is>
          <t>2033</t>
        </is>
      </c>
      <c r="J69" s="4" t="inlineStr">
        <is>
          <t>2034</t>
        </is>
      </c>
      <c r="K69" s="4" t="inlineStr">
        <is>
          <t>2035</t>
        </is>
      </c>
    </row>
    <row r="70">
      <c r="A70" s="5" t="inlineStr">
        <is>
          <t>Starlink subscribers, year end (mm)</t>
        </is>
      </c>
      <c r="C70" s="24">
        <f>Scenarios!B32</f>
        <v/>
      </c>
      <c r="D70" s="24">
        <f>Scenarios!C32</f>
        <v/>
      </c>
      <c r="E70" s="24">
        <f>Scenarios!D32</f>
        <v/>
      </c>
      <c r="F70" s="24">
        <f>Scenarios!E32</f>
        <v/>
      </c>
      <c r="G70" s="24">
        <f>Scenarios!F32</f>
        <v/>
      </c>
      <c r="H70" s="24">
        <f>Scenarios!G32</f>
        <v/>
      </c>
      <c r="I70" s="24">
        <f>Scenarios!H32</f>
        <v/>
      </c>
      <c r="J70" s="24">
        <f>Scenarios!I32</f>
        <v/>
      </c>
      <c r="K70" s="24">
        <f>Scenarios!J32</f>
        <v/>
      </c>
    </row>
    <row r="71">
      <c r="A71" s="5" t="inlineStr">
        <is>
          <t>Starlink ARPU ($ / month)</t>
        </is>
      </c>
      <c r="C71" s="24">
        <f>Scenarios!B33</f>
        <v/>
      </c>
      <c r="D71" s="24">
        <f>Scenarios!C33</f>
        <v/>
      </c>
      <c r="E71" s="24">
        <f>Scenarios!D33</f>
        <v/>
      </c>
      <c r="F71" s="24">
        <f>Scenarios!E33</f>
        <v/>
      </c>
      <c r="G71" s="24">
        <f>Scenarios!F33</f>
        <v/>
      </c>
      <c r="H71" s="24">
        <f>Scenarios!G33</f>
        <v/>
      </c>
      <c r="I71" s="24">
        <f>Scenarios!H33</f>
        <v/>
      </c>
      <c r="J71" s="24">
        <f>Scenarios!I33</f>
        <v/>
      </c>
      <c r="K71" s="24">
        <f>Scenarios!J33</f>
        <v/>
      </c>
    </row>
    <row r="72">
      <c r="A72" s="5" t="inlineStr">
        <is>
          <t>Consumer revenue incl. kits</t>
        </is>
      </c>
      <c r="C72" s="25">
        <f>(C70+Inputs!$C$22)/2*C71*12/1000*(1+Inputs!$C$25)</f>
        <v/>
      </c>
      <c r="D72" s="25">
        <f>(D70+C70)/2*D71*12/1000*(1+Inputs!$C$25)</f>
        <v/>
      </c>
      <c r="E72" s="25">
        <f>(E70+D70)/2*E71*12/1000*(1+Inputs!$C$25)</f>
        <v/>
      </c>
      <c r="F72" s="25">
        <f>(F70+E70)/2*F71*12/1000*(1+Inputs!$C$25)</f>
        <v/>
      </c>
      <c r="G72" s="25">
        <f>(G70+F70)/2*G71*12/1000*(1+Inputs!$C$25)</f>
        <v/>
      </c>
      <c r="H72" s="25">
        <f>(H70+G70)/2*H71*12/1000*(1+Inputs!$C$25)</f>
        <v/>
      </c>
      <c r="I72" s="25">
        <f>(I70+H70)/2*I71*12/1000*(1+Inputs!$C$25)</f>
        <v/>
      </c>
      <c r="J72" s="25">
        <f>(J70+I70)/2*J71*12/1000*(1+Inputs!$C$25)</f>
        <v/>
      </c>
      <c r="K72" s="25">
        <f>(K70+J70)/2*K71*12/1000*(1+Inputs!$C$25)</f>
        <v/>
      </c>
    </row>
    <row r="73">
      <c r="A73" s="5" t="inlineStr">
        <is>
          <t>Enterprise &amp; government</t>
        </is>
      </c>
      <c r="C73" s="26">
        <f>Scenarios!B34</f>
        <v/>
      </c>
      <c r="D73" s="26">
        <f>Scenarios!C34</f>
        <v/>
      </c>
      <c r="E73" s="26">
        <f>Scenarios!D34</f>
        <v/>
      </c>
      <c r="F73" s="26">
        <f>Scenarios!E34</f>
        <v/>
      </c>
      <c r="G73" s="26">
        <f>Scenarios!F34</f>
        <v/>
      </c>
      <c r="H73" s="26">
        <f>Scenarios!G34</f>
        <v/>
      </c>
      <c r="I73" s="26">
        <f>Scenarios!H34</f>
        <v/>
      </c>
      <c r="J73" s="26">
        <f>Scenarios!I34</f>
        <v/>
      </c>
      <c r="K73" s="26">
        <f>Scenarios!J34</f>
        <v/>
      </c>
    </row>
    <row r="74">
      <c r="A74" s="5" t="inlineStr">
        <is>
          <t>Starlink Mobile</t>
        </is>
      </c>
      <c r="C74" s="26">
        <f>Scenarios!B35</f>
        <v/>
      </c>
      <c r="D74" s="26">
        <f>Scenarios!C35</f>
        <v/>
      </c>
      <c r="E74" s="26">
        <f>Scenarios!D35</f>
        <v/>
      </c>
      <c r="F74" s="26">
        <f>Scenarios!E35</f>
        <v/>
      </c>
      <c r="G74" s="26">
        <f>Scenarios!F35</f>
        <v/>
      </c>
      <c r="H74" s="26">
        <f>Scenarios!G35</f>
        <v/>
      </c>
      <c r="I74" s="26">
        <f>Scenarios!H35</f>
        <v/>
      </c>
      <c r="J74" s="26">
        <f>Scenarios!I35</f>
        <v/>
      </c>
      <c r="K74" s="26">
        <f>Scenarios!J35</f>
        <v/>
      </c>
    </row>
    <row r="75">
      <c r="A75" s="9" t="inlineStr">
        <is>
          <t>Connectivity revenue</t>
        </is>
      </c>
      <c r="C75" s="25">
        <f>C72+C73+C74</f>
        <v/>
      </c>
      <c r="D75" s="25">
        <f>D72+D73+D74</f>
        <v/>
      </c>
      <c r="E75" s="25">
        <f>E72+E73+E74</f>
        <v/>
      </c>
      <c r="F75" s="25">
        <f>F72+F73+F74</f>
        <v/>
      </c>
      <c r="G75" s="25">
        <f>G72+G73+G74</f>
        <v/>
      </c>
      <c r="H75" s="25">
        <f>H72+H73+H74</f>
        <v/>
      </c>
      <c r="I75" s="25">
        <f>I72+I73+I74</f>
        <v/>
      </c>
      <c r="J75" s="25">
        <f>J72+J73+J74</f>
        <v/>
      </c>
      <c r="K75" s="25">
        <f>K72+K73+K74</f>
        <v/>
      </c>
    </row>
    <row r="76">
      <c r="A76" s="5" t="inlineStr">
        <is>
          <t>Space revenue</t>
        </is>
      </c>
      <c r="C76" s="26">
        <f>Scenarios!B38</f>
        <v/>
      </c>
      <c r="D76" s="26">
        <f>Scenarios!C38</f>
        <v/>
      </c>
      <c r="E76" s="26">
        <f>Scenarios!D38</f>
        <v/>
      </c>
      <c r="F76" s="26">
        <f>Scenarios!E38</f>
        <v/>
      </c>
      <c r="G76" s="26">
        <f>Scenarios!F38</f>
        <v/>
      </c>
      <c r="H76" s="26">
        <f>Scenarios!G38</f>
        <v/>
      </c>
      <c r="I76" s="26">
        <f>Scenarios!H38</f>
        <v/>
      </c>
      <c r="J76" s="26">
        <f>Scenarios!I38</f>
        <v/>
      </c>
      <c r="K76" s="26">
        <f>Scenarios!J38</f>
        <v/>
      </c>
    </row>
    <row r="77">
      <c r="A77" s="5" t="inlineStr">
        <is>
          <t>AI compute, year end (GW)</t>
        </is>
      </c>
      <c r="C77" s="24">
        <f>Scenarios!B42</f>
        <v/>
      </c>
      <c r="D77" s="24">
        <f>Scenarios!C42</f>
        <v/>
      </c>
      <c r="E77" s="24">
        <f>Scenarios!D42</f>
        <v/>
      </c>
      <c r="F77" s="24">
        <f>Scenarios!E42</f>
        <v/>
      </c>
      <c r="G77" s="24">
        <f>Scenarios!F42</f>
        <v/>
      </c>
      <c r="H77" s="24">
        <f>Scenarios!G42</f>
        <v/>
      </c>
      <c r="I77" s="24">
        <f>Scenarios!H42</f>
        <v/>
      </c>
      <c r="J77" s="24">
        <f>Scenarios!I42</f>
        <v/>
      </c>
      <c r="K77" s="24">
        <f>Scenarios!J42</f>
        <v/>
      </c>
    </row>
    <row r="78">
      <c r="A78" s="5" t="inlineStr">
        <is>
          <t>Share rented</t>
        </is>
      </c>
      <c r="C78" s="6">
        <f>Scenarios!B43</f>
        <v/>
      </c>
      <c r="D78" s="6">
        <f>Scenarios!C43</f>
        <v/>
      </c>
      <c r="E78" s="6">
        <f>Scenarios!D43</f>
        <v/>
      </c>
      <c r="F78" s="6">
        <f>Scenarios!E43</f>
        <v/>
      </c>
      <c r="G78" s="6">
        <f>Scenarios!F43</f>
        <v/>
      </c>
      <c r="H78" s="6">
        <f>Scenarios!G43</f>
        <v/>
      </c>
      <c r="I78" s="6">
        <f>Scenarios!H43</f>
        <v/>
      </c>
      <c r="J78" s="6">
        <f>Scenarios!I43</f>
        <v/>
      </c>
      <c r="K78" s="6">
        <f>Scenarios!J43</f>
        <v/>
      </c>
    </row>
    <row r="79">
      <c r="A79" s="5" t="inlineStr">
        <is>
          <t>Revenue per watt-year ($)</t>
        </is>
      </c>
      <c r="C79" s="24">
        <f>Scenarios!B44</f>
        <v/>
      </c>
      <c r="D79" s="24">
        <f>Scenarios!C44</f>
        <v/>
      </c>
      <c r="E79" s="24">
        <f>Scenarios!D44</f>
        <v/>
      </c>
      <c r="F79" s="24">
        <f>Scenarios!E44</f>
        <v/>
      </c>
      <c r="G79" s="24">
        <f>Scenarios!F44</f>
        <v/>
      </c>
      <c r="H79" s="24">
        <f>Scenarios!G44</f>
        <v/>
      </c>
      <c r="I79" s="24">
        <f>Scenarios!H44</f>
        <v/>
      </c>
      <c r="J79" s="24">
        <f>Scenarios!I44</f>
        <v/>
      </c>
      <c r="K79" s="24">
        <f>Scenarios!J44</f>
        <v/>
      </c>
    </row>
    <row r="80">
      <c r="A80" s="5" t="inlineStr">
        <is>
          <t>Cloud services revenue</t>
        </is>
      </c>
      <c r="C80" s="25">
        <f>(C77+Inputs!$C$23)/2*C78*C79</f>
        <v/>
      </c>
      <c r="D80" s="25">
        <f>(D77+C77)/2*D78*D79</f>
        <v/>
      </c>
      <c r="E80" s="25">
        <f>(E77+D77)/2*E78*E79</f>
        <v/>
      </c>
      <c r="F80" s="25">
        <f>(F77+E77)/2*F78*F79</f>
        <v/>
      </c>
      <c r="G80" s="25">
        <f>(G77+F77)/2*G78*G79</f>
        <v/>
      </c>
      <c r="H80" s="25">
        <f>(H77+G77)/2*H78*H79</f>
        <v/>
      </c>
      <c r="I80" s="25">
        <f>(I77+H77)/2*I78*I79</f>
        <v/>
      </c>
      <c r="J80" s="25">
        <f>(J77+I77)/2*J78*J79</f>
        <v/>
      </c>
      <c r="K80" s="25">
        <f>(K77+J77)/2*K78*K79</f>
        <v/>
      </c>
    </row>
    <row r="81">
      <c r="A81" s="5" t="inlineStr">
        <is>
          <t>Grok / X / Cursor revenue</t>
        </is>
      </c>
      <c r="C81" s="26">
        <f>Scenarios!B47</f>
        <v/>
      </c>
      <c r="D81" s="26">
        <f>Scenarios!C47</f>
        <v/>
      </c>
      <c r="E81" s="26">
        <f>Scenarios!D47</f>
        <v/>
      </c>
      <c r="F81" s="26">
        <f>Scenarios!E47</f>
        <v/>
      </c>
      <c r="G81" s="26">
        <f>Scenarios!F47</f>
        <v/>
      </c>
      <c r="H81" s="26">
        <f>Scenarios!G47</f>
        <v/>
      </c>
      <c r="I81" s="26">
        <f>Scenarios!H47</f>
        <v/>
      </c>
      <c r="J81" s="26">
        <f>Scenarios!I47</f>
        <v/>
      </c>
      <c r="K81" s="26">
        <f>Scenarios!J47</f>
        <v/>
      </c>
    </row>
    <row r="82">
      <c r="A82" s="9" t="inlineStr">
        <is>
          <t>AI revenue</t>
        </is>
      </c>
      <c r="C82" s="25">
        <f>C80+C81</f>
        <v/>
      </c>
      <c r="D82" s="25">
        <f>D80+D81</f>
        <v/>
      </c>
      <c r="E82" s="25">
        <f>E80+E81</f>
        <v/>
      </c>
      <c r="F82" s="25">
        <f>F80+F81</f>
        <v/>
      </c>
      <c r="G82" s="25">
        <f>G80+G81</f>
        <v/>
      </c>
      <c r="H82" s="25">
        <f>H80+H81</f>
        <v/>
      </c>
      <c r="I82" s="25">
        <f>I80+I81</f>
        <v/>
      </c>
      <c r="J82" s="25">
        <f>J80+J81</f>
        <v/>
      </c>
      <c r="K82" s="25">
        <f>K80+K81</f>
        <v/>
      </c>
    </row>
    <row r="83">
      <c r="A83" s="9" t="inlineStr">
        <is>
          <t>Total revenue</t>
        </is>
      </c>
      <c r="C83" s="25">
        <f>C75+C76+C82</f>
        <v/>
      </c>
      <c r="D83" s="25">
        <f>D75+D76+D82</f>
        <v/>
      </c>
      <c r="E83" s="25">
        <f>E75+E76+E82</f>
        <v/>
      </c>
      <c r="F83" s="25">
        <f>F75+F76+F82</f>
        <v/>
      </c>
      <c r="G83" s="25">
        <f>G75+G76+G82</f>
        <v/>
      </c>
      <c r="H83" s="25">
        <f>H75+H76+H82</f>
        <v/>
      </c>
      <c r="I83" s="25">
        <f>I75+I76+I82</f>
        <v/>
      </c>
      <c r="J83" s="25">
        <f>J75+J76+J82</f>
        <v/>
      </c>
      <c r="K83" s="25">
        <f>K75+K76+K82</f>
        <v/>
      </c>
    </row>
    <row r="84">
      <c r="A84" s="5" t="inlineStr">
        <is>
          <t>Connectivity margin</t>
        </is>
      </c>
      <c r="C84" s="6">
        <f>Scenarios!B36</f>
        <v/>
      </c>
      <c r="D84" s="6">
        <f>Scenarios!C36</f>
        <v/>
      </c>
      <c r="E84" s="6">
        <f>Scenarios!D36</f>
        <v/>
      </c>
      <c r="F84" s="6">
        <f>Scenarios!E36</f>
        <v/>
      </c>
      <c r="G84" s="6">
        <f>Scenarios!F36</f>
        <v/>
      </c>
      <c r="H84" s="6">
        <f>Scenarios!G36</f>
        <v/>
      </c>
      <c r="I84" s="6">
        <f>Scenarios!H36</f>
        <v/>
      </c>
      <c r="J84" s="6">
        <f>Scenarios!I36</f>
        <v/>
      </c>
      <c r="K84" s="6">
        <f>Scenarios!J36</f>
        <v/>
      </c>
    </row>
    <row r="85">
      <c r="A85" s="5" t="inlineStr">
        <is>
          <t>Connectivity adj. EBITDA</t>
        </is>
      </c>
      <c r="C85" s="25">
        <f>C75*C84</f>
        <v/>
      </c>
      <c r="D85" s="25">
        <f>D75*D84</f>
        <v/>
      </c>
      <c r="E85" s="25">
        <f>E75*E84</f>
        <v/>
      </c>
      <c r="F85" s="25">
        <f>F75*F84</f>
        <v/>
      </c>
      <c r="G85" s="25">
        <f>G75*G84</f>
        <v/>
      </c>
      <c r="H85" s="25">
        <f>H75*H84</f>
        <v/>
      </c>
      <c r="I85" s="25">
        <f>I75*I84</f>
        <v/>
      </c>
      <c r="J85" s="25">
        <f>J75*J84</f>
        <v/>
      </c>
      <c r="K85" s="25">
        <f>K75*K84</f>
        <v/>
      </c>
    </row>
    <row r="86">
      <c r="A86" s="5" t="inlineStr">
        <is>
          <t>Space margin before Starship R&amp;D</t>
        </is>
      </c>
      <c r="C86" s="6">
        <f>Scenarios!B39</f>
        <v/>
      </c>
      <c r="D86" s="6">
        <f>Scenarios!C39</f>
        <v/>
      </c>
      <c r="E86" s="6">
        <f>Scenarios!D39</f>
        <v/>
      </c>
      <c r="F86" s="6">
        <f>Scenarios!E39</f>
        <v/>
      </c>
      <c r="G86" s="6">
        <f>Scenarios!F39</f>
        <v/>
      </c>
      <c r="H86" s="6">
        <f>Scenarios!G39</f>
        <v/>
      </c>
      <c r="I86" s="6">
        <f>Scenarios!H39</f>
        <v/>
      </c>
      <c r="J86" s="6">
        <f>Scenarios!I39</f>
        <v/>
      </c>
      <c r="K86" s="6">
        <f>Scenarios!J39</f>
        <v/>
      </c>
    </row>
    <row r="87">
      <c r="A87" s="5" t="inlineStr">
        <is>
          <t>Starship R&amp;D</t>
        </is>
      </c>
      <c r="C87" s="26">
        <f>Scenarios!B40</f>
        <v/>
      </c>
      <c r="D87" s="26">
        <f>Scenarios!C40</f>
        <v/>
      </c>
      <c r="E87" s="26">
        <f>Scenarios!D40</f>
        <v/>
      </c>
      <c r="F87" s="26">
        <f>Scenarios!E40</f>
        <v/>
      </c>
      <c r="G87" s="26">
        <f>Scenarios!F40</f>
        <v/>
      </c>
      <c r="H87" s="26">
        <f>Scenarios!G40</f>
        <v/>
      </c>
      <c r="I87" s="26">
        <f>Scenarios!H40</f>
        <v/>
      </c>
      <c r="J87" s="26">
        <f>Scenarios!I40</f>
        <v/>
      </c>
      <c r="K87" s="26">
        <f>Scenarios!J40</f>
        <v/>
      </c>
    </row>
    <row r="88">
      <c r="A88" s="5" t="inlineStr">
        <is>
          <t>Space adj. EBITDA</t>
        </is>
      </c>
      <c r="C88" s="25">
        <f>C76*C86-C87</f>
        <v/>
      </c>
      <c r="D88" s="25">
        <f>D76*D86-D87</f>
        <v/>
      </c>
      <c r="E88" s="25">
        <f>E76*E86-E87</f>
        <v/>
      </c>
      <c r="F88" s="25">
        <f>F76*F86-F87</f>
        <v/>
      </c>
      <c r="G88" s="25">
        <f>G76*G86-G87</f>
        <v/>
      </c>
      <c r="H88" s="25">
        <f>H76*H86-H87</f>
        <v/>
      </c>
      <c r="I88" s="25">
        <f>I76*I86-I87</f>
        <v/>
      </c>
      <c r="J88" s="25">
        <f>J76*J86-J87</f>
        <v/>
      </c>
      <c r="K88" s="25">
        <f>K76*K86-K87</f>
        <v/>
      </c>
    </row>
    <row r="89">
      <c r="A89" s="5" t="inlineStr">
        <is>
          <t>Cloud margin</t>
        </is>
      </c>
      <c r="C89" s="6">
        <f>Scenarios!B45</f>
        <v/>
      </c>
      <c r="D89" s="6">
        <f>Scenarios!C45</f>
        <v/>
      </c>
      <c r="E89" s="6">
        <f>Scenarios!D45</f>
        <v/>
      </c>
      <c r="F89" s="6">
        <f>Scenarios!E45</f>
        <v/>
      </c>
      <c r="G89" s="6">
        <f>Scenarios!F45</f>
        <v/>
      </c>
      <c r="H89" s="6">
        <f>Scenarios!G45</f>
        <v/>
      </c>
      <c r="I89" s="6">
        <f>Scenarios!H45</f>
        <v/>
      </c>
      <c r="J89" s="6">
        <f>Scenarios!I45</f>
        <v/>
      </c>
      <c r="K89" s="6">
        <f>Scenarios!J45</f>
        <v/>
      </c>
    </row>
    <row r="90">
      <c r="A90" s="5" t="inlineStr">
        <is>
          <t>Apps and ads margin</t>
        </is>
      </c>
      <c r="C90" s="6">
        <f>Scenarios!B48</f>
        <v/>
      </c>
      <c r="D90" s="6">
        <f>Scenarios!C48</f>
        <v/>
      </c>
      <c r="E90" s="6">
        <f>Scenarios!D48</f>
        <v/>
      </c>
      <c r="F90" s="6">
        <f>Scenarios!E48</f>
        <v/>
      </c>
      <c r="G90" s="6">
        <f>Scenarios!F48</f>
        <v/>
      </c>
      <c r="H90" s="6">
        <f>Scenarios!G48</f>
        <v/>
      </c>
      <c r="I90" s="6">
        <f>Scenarios!H48</f>
        <v/>
      </c>
      <c r="J90" s="6">
        <f>Scenarios!I48</f>
        <v/>
      </c>
      <c r="K90" s="6">
        <f>Scenarios!J48</f>
        <v/>
      </c>
    </row>
    <row r="91">
      <c r="A91" s="5" t="inlineStr">
        <is>
          <t>Frontier-model R&amp;D</t>
        </is>
      </c>
      <c r="C91" s="26">
        <f>Scenarios!B49</f>
        <v/>
      </c>
      <c r="D91" s="26">
        <f>Scenarios!C49</f>
        <v/>
      </c>
      <c r="E91" s="26">
        <f>Scenarios!D49</f>
        <v/>
      </c>
      <c r="F91" s="26">
        <f>Scenarios!E49</f>
        <v/>
      </c>
      <c r="G91" s="26">
        <f>Scenarios!F49</f>
        <v/>
      </c>
      <c r="H91" s="26">
        <f>Scenarios!G49</f>
        <v/>
      </c>
      <c r="I91" s="26">
        <f>Scenarios!H49</f>
        <v/>
      </c>
      <c r="J91" s="26">
        <f>Scenarios!I49</f>
        <v/>
      </c>
      <c r="K91" s="26">
        <f>Scenarios!J49</f>
        <v/>
      </c>
    </row>
    <row r="92">
      <c r="A92" s="5" t="inlineStr">
        <is>
          <t>AI adj. EBITDA</t>
        </is>
      </c>
      <c r="C92" s="25">
        <f>C80*C89+C81*C90-C91</f>
        <v/>
      </c>
      <c r="D92" s="25">
        <f>D80*D89+D81*D90-D91</f>
        <v/>
      </c>
      <c r="E92" s="25">
        <f>E80*E89+E81*E90-E91</f>
        <v/>
      </c>
      <c r="F92" s="25">
        <f>F80*F89+F81*F90-F91</f>
        <v/>
      </c>
      <c r="G92" s="25">
        <f>G80*G89+G81*G90-G91</f>
        <v/>
      </c>
      <c r="H92" s="25">
        <f>H80*H89+H81*H90-H91</f>
        <v/>
      </c>
      <c r="I92" s="25">
        <f>I80*I89+I81*I90-I91</f>
        <v/>
      </c>
      <c r="J92" s="25">
        <f>J80*J89+J81*J90-J91</f>
        <v/>
      </c>
      <c r="K92" s="25">
        <f>K80*K89+K81*K90-K91</f>
        <v/>
      </c>
    </row>
    <row r="93">
      <c r="A93" s="9" t="inlineStr">
        <is>
          <t>Adjusted EBITDA (before stock comp)</t>
        </is>
      </c>
      <c r="C93" s="25">
        <f>C85+C88+C92</f>
        <v/>
      </c>
      <c r="D93" s="25">
        <f>D85+D88+D92</f>
        <v/>
      </c>
      <c r="E93" s="25">
        <f>E85+E88+E92</f>
        <v/>
      </c>
      <c r="F93" s="25">
        <f>F85+F88+F92</f>
        <v/>
      </c>
      <c r="G93" s="25">
        <f>G85+G88+G92</f>
        <v/>
      </c>
      <c r="H93" s="25">
        <f>H85+H88+H92</f>
        <v/>
      </c>
      <c r="I93" s="25">
        <f>I85+I88+I92</f>
        <v/>
      </c>
      <c r="J93" s="25">
        <f>J85+J88+J92</f>
        <v/>
      </c>
      <c r="K93" s="25">
        <f>K85+K88+K92</f>
        <v/>
      </c>
    </row>
    <row r="94">
      <c r="A94" s="5" t="inlineStr">
        <is>
          <t>Stock comp, % of revenue</t>
        </is>
      </c>
      <c r="C94" s="6">
        <f>Scenarios!B50</f>
        <v/>
      </c>
      <c r="D94" s="6">
        <f>Scenarios!C50</f>
        <v/>
      </c>
      <c r="E94" s="6">
        <f>Scenarios!D50</f>
        <v/>
      </c>
      <c r="F94" s="6">
        <f>Scenarios!E50</f>
        <v/>
      </c>
      <c r="G94" s="6">
        <f>Scenarios!F50</f>
        <v/>
      </c>
      <c r="H94" s="6">
        <f>Scenarios!G50</f>
        <v/>
      </c>
      <c r="I94" s="6">
        <f>Scenarios!H50</f>
        <v/>
      </c>
      <c r="J94" s="6">
        <f>Scenarios!I50</f>
        <v/>
      </c>
      <c r="K94" s="6">
        <f>Scenarios!J50</f>
        <v/>
      </c>
    </row>
    <row r="95">
      <c r="A95" s="5" t="inlineStr">
        <is>
          <t>Stock-based compensation</t>
        </is>
      </c>
      <c r="C95" s="25">
        <f>C83*C94</f>
        <v/>
      </c>
      <c r="D95" s="25">
        <f>D83*D94</f>
        <v/>
      </c>
      <c r="E95" s="25">
        <f>E83*E94</f>
        <v/>
      </c>
      <c r="F95" s="25">
        <f>F83*F94</f>
        <v/>
      </c>
      <c r="G95" s="25">
        <f>G83*G94</f>
        <v/>
      </c>
      <c r="H95" s="25">
        <f>H83*H94</f>
        <v/>
      </c>
      <c r="I95" s="25">
        <f>I83*I94</f>
        <v/>
      </c>
      <c r="J95" s="25">
        <f>J83*J94</f>
        <v/>
      </c>
      <c r="K95" s="25">
        <f>K83*K94</f>
        <v/>
      </c>
    </row>
    <row r="96">
      <c r="A96" s="9" t="inlineStr">
        <is>
          <t>EBITDA after stock comp</t>
        </is>
      </c>
      <c r="C96" s="25">
        <f>C93-C95</f>
        <v/>
      </c>
      <c r="D96" s="25">
        <f>D93-D95</f>
        <v/>
      </c>
      <c r="E96" s="25">
        <f>E93-E95</f>
        <v/>
      </c>
      <c r="F96" s="25">
        <f>F93-F95</f>
        <v/>
      </c>
      <c r="G96" s="25">
        <f>G93-G95</f>
        <v/>
      </c>
      <c r="H96" s="25">
        <f>H93-H95</f>
        <v/>
      </c>
      <c r="I96" s="25">
        <f>I93-I95</f>
        <v/>
      </c>
      <c r="J96" s="25">
        <f>J93-J95</f>
        <v/>
      </c>
      <c r="K96" s="25">
        <f>K93-K95</f>
        <v/>
      </c>
    </row>
    <row r="97">
      <c r="A97" s="5" t="inlineStr">
        <is>
          <t>AI capex per watt ($)</t>
        </is>
      </c>
      <c r="C97" s="24">
        <f>Scenarios!B46</f>
        <v/>
      </c>
      <c r="D97" s="24">
        <f>Scenarios!C46</f>
        <v/>
      </c>
      <c r="E97" s="24">
        <f>Scenarios!D46</f>
        <v/>
      </c>
      <c r="F97" s="24">
        <f>Scenarios!E46</f>
        <v/>
      </c>
      <c r="G97" s="24">
        <f>Scenarios!F46</f>
        <v/>
      </c>
      <c r="H97" s="24">
        <f>Scenarios!G46</f>
        <v/>
      </c>
      <c r="I97" s="24">
        <f>Scenarios!H46</f>
        <v/>
      </c>
      <c r="J97" s="24">
        <f>Scenarios!I46</f>
        <v/>
      </c>
      <c r="K97" s="24">
        <f>Scenarios!J46</f>
        <v/>
      </c>
    </row>
    <row r="98">
      <c r="A98" s="5" t="inlineStr">
        <is>
          <t>AI depreciation</t>
        </is>
      </c>
      <c r="C98" s="25">
        <f>(C77+Inputs!$C$23)/2*C97/Inputs!$C$27</f>
        <v/>
      </c>
      <c r="D98" s="25">
        <f>(D77+C77)/2*D97/Inputs!$C$27</f>
        <v/>
      </c>
      <c r="E98" s="25">
        <f>(E77+D77)/2*E97/Inputs!$C$27</f>
        <v/>
      </c>
      <c r="F98" s="25">
        <f>(F77+E77)/2*F97/Inputs!$C$27</f>
        <v/>
      </c>
      <c r="G98" s="25">
        <f>(G77+F77)/2*G97/Inputs!$C$27</f>
        <v/>
      </c>
      <c r="H98" s="25">
        <f>(H77+G77)/2*H97/Inputs!$C$27</f>
        <v/>
      </c>
      <c r="I98" s="25">
        <f>(I77+H77)/2*I97/Inputs!$C$27</f>
        <v/>
      </c>
      <c r="J98" s="25">
        <f>(J77+I77)/2*J97/Inputs!$C$27</f>
        <v/>
      </c>
      <c r="K98" s="25">
        <f>(K77+J77)/2*K97/Inputs!$C$27</f>
        <v/>
      </c>
    </row>
    <row r="99">
      <c r="A99" s="5" t="inlineStr">
        <is>
          <t>Depreciation &amp; amortization</t>
        </is>
      </c>
      <c r="C99" s="25">
        <f>(C75+C76)*Inputs!$C$26+C98</f>
        <v/>
      </c>
      <c r="D99" s="25">
        <f>(D75+D76)*Inputs!$C$26+D98</f>
        <v/>
      </c>
      <c r="E99" s="25">
        <f>(E75+E76)*Inputs!$C$26+E98</f>
        <v/>
      </c>
      <c r="F99" s="25">
        <f>(F75+F76)*Inputs!$C$26+F98</f>
        <v/>
      </c>
      <c r="G99" s="25">
        <f>(G75+G76)*Inputs!$C$26+G98</f>
        <v/>
      </c>
      <c r="H99" s="25">
        <f>(H75+H76)*Inputs!$C$26+H98</f>
        <v/>
      </c>
      <c r="I99" s="25">
        <f>(I75+I76)*Inputs!$C$26+I98</f>
        <v/>
      </c>
      <c r="J99" s="25">
        <f>(J75+J76)*Inputs!$C$26+J98</f>
        <v/>
      </c>
      <c r="K99" s="25">
        <f>(K75+K76)*Inputs!$C$26+K98</f>
        <v/>
      </c>
    </row>
    <row r="100">
      <c r="A100" s="9" t="inlineStr">
        <is>
          <t>EBIT</t>
        </is>
      </c>
      <c r="C100" s="25">
        <f>C96-C99</f>
        <v/>
      </c>
      <c r="D100" s="25">
        <f>D96-D99</f>
        <v/>
      </c>
      <c r="E100" s="25">
        <f>E96-E99</f>
        <v/>
      </c>
      <c r="F100" s="25">
        <f>F96-F99</f>
        <v/>
      </c>
      <c r="G100" s="25">
        <f>G96-G99</f>
        <v/>
      </c>
      <c r="H100" s="25">
        <f>H96-H99</f>
        <v/>
      </c>
      <c r="I100" s="25">
        <f>I96-I99</f>
        <v/>
      </c>
      <c r="J100" s="25">
        <f>J96-J99</f>
        <v/>
      </c>
      <c r="K100" s="25">
        <f>K96-K99</f>
        <v/>
      </c>
    </row>
    <row r="101">
      <c r="A101" s="5" t="inlineStr">
        <is>
          <t>EBIT margin</t>
        </is>
      </c>
      <c r="C101" s="8">
        <f>IF(C83=0,0,C100/C83)</f>
        <v/>
      </c>
      <c r="D101" s="8">
        <f>IF(D83=0,0,D100/D83)</f>
        <v/>
      </c>
      <c r="E101" s="8">
        <f>IF(E83=0,0,E100/E83)</f>
        <v/>
      </c>
      <c r="F101" s="8">
        <f>IF(F83=0,0,F100/F83)</f>
        <v/>
      </c>
      <c r="G101" s="8">
        <f>IF(G83=0,0,G100/G83)</f>
        <v/>
      </c>
      <c r="H101" s="8">
        <f>IF(H83=0,0,H100/H83)</f>
        <v/>
      </c>
      <c r="I101" s="8">
        <f>IF(I83=0,0,I100/I83)</f>
        <v/>
      </c>
      <c r="J101" s="8">
        <f>IF(J83=0,0,J100/J83)</f>
        <v/>
      </c>
      <c r="K101" s="8">
        <f>IF(K83=0,0,K100/K83)</f>
        <v/>
      </c>
    </row>
    <row r="102">
      <c r="A102" s="5" t="inlineStr">
        <is>
          <t>AI capex</t>
        </is>
      </c>
      <c r="C102" s="25">
        <f>MAX(0,C77-Inputs!$C$23*(1-1/Inputs!$C$27))*C97</f>
        <v/>
      </c>
      <c r="D102" s="25">
        <f>MAX(0,D77-C77*(1-1/Inputs!$C$27))*D97</f>
        <v/>
      </c>
      <c r="E102" s="25">
        <f>MAX(0,E77-D77*(1-1/Inputs!$C$27))*E97</f>
        <v/>
      </c>
      <c r="F102" s="25">
        <f>MAX(0,F77-E77*(1-1/Inputs!$C$27))*F97</f>
        <v/>
      </c>
      <c r="G102" s="25">
        <f>MAX(0,G77-F77*(1-1/Inputs!$C$27))*G97</f>
        <v/>
      </c>
      <c r="H102" s="25">
        <f>MAX(0,H77-G77*(1-1/Inputs!$C$27))*H97</f>
        <v/>
      </c>
      <c r="I102" s="25">
        <f>MAX(0,I77-H77*(1-1/Inputs!$C$27))*I97</f>
        <v/>
      </c>
      <c r="J102" s="25">
        <f>MAX(0,J77-I77*(1-1/Inputs!$C$27))*J97</f>
        <v/>
      </c>
      <c r="K102" s="25">
        <f>MAX(0,K77-J77*(1-1/Inputs!$C$27))*K97</f>
        <v/>
      </c>
    </row>
    <row r="103">
      <c r="A103" s="5" t="inlineStr">
        <is>
          <t>Connectivity capex, % of revenue</t>
        </is>
      </c>
      <c r="C103" s="6">
        <f>Scenarios!B37</f>
        <v/>
      </c>
      <c r="D103" s="6">
        <f>Scenarios!C37</f>
        <v/>
      </c>
      <c r="E103" s="6">
        <f>Scenarios!D37</f>
        <v/>
      </c>
      <c r="F103" s="6">
        <f>Scenarios!E37</f>
        <v/>
      </c>
      <c r="G103" s="6">
        <f>Scenarios!F37</f>
        <v/>
      </c>
      <c r="H103" s="6">
        <f>Scenarios!G37</f>
        <v/>
      </c>
      <c r="I103" s="6">
        <f>Scenarios!H37</f>
        <v/>
      </c>
      <c r="J103" s="6">
        <f>Scenarios!I37</f>
        <v/>
      </c>
      <c r="K103" s="6">
        <f>Scenarios!J37</f>
        <v/>
      </c>
    </row>
    <row r="104">
      <c r="A104" s="5" t="inlineStr">
        <is>
          <t>Connectivity capex</t>
        </is>
      </c>
      <c r="C104" s="25">
        <f>C75*C103</f>
        <v/>
      </c>
      <c r="D104" s="25">
        <f>D75*D103</f>
        <v/>
      </c>
      <c r="E104" s="25">
        <f>E75*E103</f>
        <v/>
      </c>
      <c r="F104" s="25">
        <f>F75*F103</f>
        <v/>
      </c>
      <c r="G104" s="25">
        <f>G75*G103</f>
        <v/>
      </c>
      <c r="H104" s="25">
        <f>H75*H103</f>
        <v/>
      </c>
      <c r="I104" s="25">
        <f>I75*I103</f>
        <v/>
      </c>
      <c r="J104" s="25">
        <f>J75*J103</f>
        <v/>
      </c>
      <c r="K104" s="25">
        <f>K75*K103</f>
        <v/>
      </c>
    </row>
    <row r="105">
      <c r="A105" s="5" t="inlineStr">
        <is>
          <t>Space capex</t>
        </is>
      </c>
      <c r="C105" s="26">
        <f>Scenarios!B41</f>
        <v/>
      </c>
      <c r="D105" s="26">
        <f>Scenarios!C41</f>
        <v/>
      </c>
      <c r="E105" s="26">
        <f>Scenarios!D41</f>
        <v/>
      </c>
      <c r="F105" s="26">
        <f>Scenarios!E41</f>
        <v/>
      </c>
      <c r="G105" s="26">
        <f>Scenarios!F41</f>
        <v/>
      </c>
      <c r="H105" s="26">
        <f>Scenarios!G41</f>
        <v/>
      </c>
      <c r="I105" s="26">
        <f>Scenarios!H41</f>
        <v/>
      </c>
      <c r="J105" s="26">
        <f>Scenarios!I41</f>
        <v/>
      </c>
      <c r="K105" s="26">
        <f>Scenarios!J41</f>
        <v/>
      </c>
    </row>
    <row r="106">
      <c r="A106" s="9" t="inlineStr">
        <is>
          <t>Capital expenditures</t>
        </is>
      </c>
      <c r="C106" s="25">
        <f>C102+C104+C105</f>
        <v/>
      </c>
      <c r="D106" s="25">
        <f>D102+D104+D105</f>
        <v/>
      </c>
      <c r="E106" s="25">
        <f>E102+E104+E105</f>
        <v/>
      </c>
      <c r="F106" s="25">
        <f>F102+F104+F105</f>
        <v/>
      </c>
      <c r="G106" s="25">
        <f>G102+G104+G105</f>
        <v/>
      </c>
      <c r="H106" s="25">
        <f>H102+H104+H105</f>
        <v/>
      </c>
      <c r="I106" s="25">
        <f>I102+I104+I105</f>
        <v/>
      </c>
      <c r="J106" s="25">
        <f>J102+J104+J105</f>
        <v/>
      </c>
      <c r="K106" s="25">
        <f>K102+K104+K105</f>
        <v/>
      </c>
    </row>
    <row r="107">
      <c r="A107" s="5" t="inlineStr">
        <is>
          <t>Net operating losses, start</t>
        </is>
      </c>
      <c r="C107" s="25">
        <f>Inputs!$C$28</f>
        <v/>
      </c>
      <c r="D107" s="25">
        <f>C110</f>
        <v/>
      </c>
      <c r="E107" s="25">
        <f>D110</f>
        <v/>
      </c>
      <c r="F107" s="25">
        <f>E110</f>
        <v/>
      </c>
      <c r="G107" s="25">
        <f>F110</f>
        <v/>
      </c>
      <c r="H107" s="25">
        <f>G110</f>
        <v/>
      </c>
      <c r="I107" s="25">
        <f>H110</f>
        <v/>
      </c>
      <c r="J107" s="25">
        <f>I110</f>
        <v/>
      </c>
      <c r="K107" s="25">
        <f>J110</f>
        <v/>
      </c>
    </row>
    <row r="108">
      <c r="A108" s="5" t="inlineStr">
        <is>
          <t>Losses used</t>
        </is>
      </c>
      <c r="C108" s="25">
        <f>MIN(C107,MAX(0,C100))</f>
        <v/>
      </c>
      <c r="D108" s="25">
        <f>MIN(D107,MAX(0,D100))</f>
        <v/>
      </c>
      <c r="E108" s="25">
        <f>MIN(E107,MAX(0,E100))</f>
        <v/>
      </c>
      <c r="F108" s="25">
        <f>MIN(F107,MAX(0,F100))</f>
        <v/>
      </c>
      <c r="G108" s="25">
        <f>MIN(G107,MAX(0,G100))</f>
        <v/>
      </c>
      <c r="H108" s="25">
        <f>MIN(H107,MAX(0,H100))</f>
        <v/>
      </c>
      <c r="I108" s="25">
        <f>MIN(I107,MAX(0,I100))</f>
        <v/>
      </c>
      <c r="J108" s="25">
        <f>MIN(J107,MAX(0,J100))</f>
        <v/>
      </c>
      <c r="K108" s="25">
        <f>MIN(K107,MAX(0,K100))</f>
        <v/>
      </c>
    </row>
    <row r="109">
      <c r="A109" s="5" t="inlineStr">
        <is>
          <t>Cash taxes</t>
        </is>
      </c>
      <c r="C109" s="25">
        <f>Inputs!$C$29*MAX(0,C100-C108)</f>
        <v/>
      </c>
      <c r="D109" s="25">
        <f>Inputs!$C$29*MAX(0,D100-D108)</f>
        <v/>
      </c>
      <c r="E109" s="25">
        <f>Inputs!$C$29*MAX(0,E100-E108)</f>
        <v/>
      </c>
      <c r="F109" s="25">
        <f>Inputs!$C$29*MAX(0,F100-F108)</f>
        <v/>
      </c>
      <c r="G109" s="25">
        <f>Inputs!$C$29*MAX(0,G100-G108)</f>
        <v/>
      </c>
      <c r="H109" s="25">
        <f>Inputs!$C$29*MAX(0,H100-H108)</f>
        <v/>
      </c>
      <c r="I109" s="25">
        <f>Inputs!$C$29*MAX(0,I100-I108)</f>
        <v/>
      </c>
      <c r="J109" s="25">
        <f>Inputs!$C$29*MAX(0,J100-J108)</f>
        <v/>
      </c>
      <c r="K109" s="25">
        <f>Inputs!$C$29*MAX(0,K100-K108)</f>
        <v/>
      </c>
    </row>
    <row r="110">
      <c r="A110" s="5" t="inlineStr">
        <is>
          <t>Net operating losses, end</t>
        </is>
      </c>
      <c r="C110" s="25">
        <f>C107-C108+MAX(0,-C100)</f>
        <v/>
      </c>
      <c r="D110" s="25">
        <f>D107-D108+MAX(0,-D100)</f>
        <v/>
      </c>
      <c r="E110" s="25">
        <f>E107-E108+MAX(0,-E100)</f>
        <v/>
      </c>
      <c r="F110" s="25">
        <f>F107-F108+MAX(0,-F100)</f>
        <v/>
      </c>
      <c r="G110" s="25">
        <f>G107-G108+MAX(0,-G100)</f>
        <v/>
      </c>
      <c r="H110" s="25">
        <f>H107-H108+MAX(0,-H100)</f>
        <v/>
      </c>
      <c r="I110" s="25">
        <f>I107-I108+MAX(0,-I100)</f>
        <v/>
      </c>
      <c r="J110" s="25">
        <f>J107-J108+MAX(0,-J100)</f>
        <v/>
      </c>
      <c r="K110" s="25">
        <f>K107-K108+MAX(0,-K100)</f>
        <v/>
      </c>
    </row>
    <row r="111">
      <c r="A111" s="5" t="inlineStr">
        <is>
          <t>Spectrum payments</t>
        </is>
      </c>
      <c r="C111" s="26">
        <f>Scenarios!B51</f>
        <v/>
      </c>
      <c r="D111" s="26">
        <f>Scenarios!C51</f>
        <v/>
      </c>
      <c r="E111" s="26">
        <f>Scenarios!D51</f>
        <v/>
      </c>
      <c r="F111" s="26">
        <f>Scenarios!E51</f>
        <v/>
      </c>
      <c r="G111" s="26">
        <f>Scenarios!F51</f>
        <v/>
      </c>
      <c r="H111" s="26">
        <f>Scenarios!G51</f>
        <v/>
      </c>
      <c r="I111" s="26">
        <f>Scenarios!H51</f>
        <v/>
      </c>
      <c r="J111" s="26">
        <f>Scenarios!I51</f>
        <v/>
      </c>
      <c r="K111" s="26">
        <f>Scenarios!J51</f>
        <v/>
      </c>
    </row>
    <row r="112">
      <c r="A112" s="9" t="inlineStr">
        <is>
          <t>Unlevered free cash flow</t>
        </is>
      </c>
      <c r="C112" s="25">
        <f>C96-C109-C106-C111</f>
        <v/>
      </c>
      <c r="D112" s="25">
        <f>D96-D109-D106-D111</f>
        <v/>
      </c>
      <c r="E112" s="25">
        <f>E96-E109-E106-E111</f>
        <v/>
      </c>
      <c r="F112" s="25">
        <f>F96-F109-F106-F111</f>
        <v/>
      </c>
      <c r="G112" s="25">
        <f>G96-G109-G106-G111</f>
        <v/>
      </c>
      <c r="H112" s="25">
        <f>H96-H109-H106-H111</f>
        <v/>
      </c>
      <c r="I112" s="25">
        <f>I96-I109-I106-I111</f>
        <v/>
      </c>
      <c r="J112" s="25">
        <f>J96-J109-J106-J111</f>
        <v/>
      </c>
      <c r="K112" s="25">
        <f>K96-K109-K106-K111</f>
        <v/>
      </c>
    </row>
    <row r="113">
      <c r="A113" s="5" t="inlineStr">
        <is>
          <t>Discount period (years)</t>
        </is>
      </c>
      <c r="C113" s="27">
        <f>2027+0.5-Inputs!$C$21</f>
        <v/>
      </c>
      <c r="D113" s="27">
        <f>2028+0.5-Inputs!$C$21</f>
        <v/>
      </c>
      <c r="E113" s="27">
        <f>2029+0.5-Inputs!$C$21</f>
        <v/>
      </c>
      <c r="F113" s="27">
        <f>2030+0.5-Inputs!$C$21</f>
        <v/>
      </c>
      <c r="G113" s="27">
        <f>2031+0.5-Inputs!$C$21</f>
        <v/>
      </c>
      <c r="H113" s="27">
        <f>2032+0.5-Inputs!$C$21</f>
        <v/>
      </c>
      <c r="I113" s="27">
        <f>2033+0.5-Inputs!$C$21</f>
        <v/>
      </c>
      <c r="J113" s="27">
        <f>2034+0.5-Inputs!$C$21</f>
        <v/>
      </c>
      <c r="K113" s="27">
        <f>2035+0.5-Inputs!$C$21</f>
        <v/>
      </c>
    </row>
    <row r="114">
      <c r="A114" s="5" t="inlineStr">
        <is>
          <t>Discount factor</t>
        </is>
      </c>
      <c r="C114" s="28">
        <f>1/(1+Inputs!$C$38)^C113</f>
        <v/>
      </c>
      <c r="D114" s="28">
        <f>1/(1+Inputs!$C$38)^D113</f>
        <v/>
      </c>
      <c r="E114" s="28">
        <f>1/(1+Inputs!$C$38)^E113</f>
        <v/>
      </c>
      <c r="F114" s="28">
        <f>1/(1+Inputs!$C$38)^F113</f>
        <v/>
      </c>
      <c r="G114" s="28">
        <f>1/(1+Inputs!$C$38)^G113</f>
        <v/>
      </c>
      <c r="H114" s="28">
        <f>1/(1+Inputs!$C$38)^H113</f>
        <v/>
      </c>
      <c r="I114" s="28">
        <f>1/(1+Inputs!$C$38)^I113</f>
        <v/>
      </c>
      <c r="J114" s="28">
        <f>1/(1+Inputs!$C$38)^J113</f>
        <v/>
      </c>
      <c r="K114" s="28">
        <f>1/(1+Inputs!$C$38)^K113</f>
        <v/>
      </c>
    </row>
    <row r="115">
      <c r="A115" s="9" t="inlineStr">
        <is>
          <t>PV of unlevered FCF</t>
        </is>
      </c>
      <c r="C115" s="25">
        <f>C112*C114</f>
        <v/>
      </c>
      <c r="D115" s="25">
        <f>D112*D114</f>
        <v/>
      </c>
      <c r="E115" s="25">
        <f>E112*E114</f>
        <v/>
      </c>
      <c r="F115" s="25">
        <f>F112*F114</f>
        <v/>
      </c>
      <c r="G115" s="25">
        <f>G112*G114</f>
        <v/>
      </c>
      <c r="H115" s="25">
        <f>H112*H114</f>
        <v/>
      </c>
      <c r="I115" s="25">
        <f>I112*I114</f>
        <v/>
      </c>
      <c r="J115" s="25">
        <f>J112*J114</f>
        <v/>
      </c>
      <c r="K115" s="25">
        <f>K112*K114</f>
        <v/>
      </c>
    </row>
    <row r="117">
      <c r="A117" s="5" t="inlineStr">
        <is>
          <t>Normalized terminal FCF (2035)</t>
        </is>
      </c>
      <c r="C117" s="25">
        <f>K100*(1-Inputs!$C$42)+K99*(1-Inputs!$C$43)-Inputs!$C$44*K83*Inputs!$C$41</f>
        <v/>
      </c>
    </row>
    <row r="118">
      <c r="A118" s="5" t="inlineStr">
        <is>
          <t>Terminal value, exit multiple</t>
        </is>
      </c>
      <c r="C118" s="25">
        <f>K96*Inputs!$C$40</f>
        <v/>
      </c>
    </row>
    <row r="119">
      <c r="A119" s="5" t="inlineStr">
        <is>
          <t>Terminal value, perpetual growth (cross-check)</t>
        </is>
      </c>
      <c r="C119" s="25">
        <f>$C$117*(1+Inputs!$C$41)/(Inputs!$C$38-Inputs!$C$41)</f>
        <v/>
      </c>
    </row>
    <row r="120">
      <c r="A120" s="5" t="inlineStr">
        <is>
          <t>PV of 2027-2035 FCF + H2 2026 stub</t>
        </is>
      </c>
      <c r="C120" s="25">
        <f>SUM(C115:K115)+Inputs!$C$20</f>
        <v/>
      </c>
    </row>
    <row r="121">
      <c r="A121" s="5" t="inlineStr">
        <is>
          <t>PV of terminal value (exit multiple, end-2035 value)</t>
        </is>
      </c>
      <c r="C121" s="25">
        <f>$C$118/(1+Inputs!$C$38)^(K113+0.5)</f>
        <v/>
      </c>
    </row>
    <row r="122">
      <c r="A122" s="29" t="inlineStr">
        <is>
          <t>Enterprise value</t>
        </is>
      </c>
      <c r="C122" s="30">
        <f>$C$120+$C$121</f>
        <v/>
      </c>
    </row>
    <row r="123">
      <c r="A123" s="5" t="inlineStr">
        <is>
          <t>Equity value</t>
        </is>
      </c>
      <c r="C123" s="25">
        <f>$C$122+Inputs!$C$17</f>
        <v/>
      </c>
    </row>
    <row r="124">
      <c r="A124" s="5" t="inlineStr">
        <is>
          <t>DCF value per share ($)</t>
        </is>
      </c>
      <c r="C124" s="11">
        <f>MAX(0,$C$123*1000/Inputs!$C$12)</f>
        <v/>
      </c>
    </row>
    <row r="125">
      <c r="A125" s="5" t="inlineStr">
        <is>
          <t>Strategic floor per share ($)</t>
        </is>
      </c>
      <c r="C125" s="18" t="n">
        <v>0</v>
      </c>
    </row>
    <row r="126">
      <c r="A126" s="29" t="inlineStr">
        <is>
          <t>Value per share ($)</t>
        </is>
      </c>
      <c r="C126" s="31">
        <f>MAX($C$124,$C$125)</f>
        <v/>
      </c>
    </row>
    <row r="127">
      <c r="A127" s="5" t="inlineStr">
        <is>
          <t>Cross-check: value per share at perpetual growth ($)</t>
        </is>
      </c>
      <c r="C127" s="11">
        <f>MAX(0,($C$120+$C$119*K114+Inputs!$C$17)*1000/Inputs!$C$12)</f>
        <v/>
      </c>
    </row>
    <row r="128">
      <c r="A128" s="5" t="inlineStr">
        <is>
          <t>Perpetual growth implied by the exit multiple</t>
        </is>
      </c>
      <c r="C128" s="8">
        <f>($C$118*Inputs!$C$38-$C$117)/($C$118+$C$117)</f>
        <v/>
      </c>
    </row>
    <row r="129">
      <c r="A129" s="5" t="inlineStr">
        <is>
          <t>Value per share excl. Musk unvested shares ($)</t>
        </is>
      </c>
      <c r="C129" s="11">
        <f>MAX(0,$C$123*1000/Inputs!$C$13)</f>
        <v/>
      </c>
    </row>
    <row r="132">
      <c r="A132" s="9" t="inlineStr">
        <is>
          <t>Bull case</t>
        </is>
      </c>
    </row>
    <row r="133">
      <c r="A133" s="3" t="inlineStr">
        <is>
          <t>Line item</t>
        </is>
      </c>
      <c r="B133" s="4" t="inlineStr"/>
      <c r="C133" s="4" t="inlineStr">
        <is>
          <t>2027</t>
        </is>
      </c>
      <c r="D133" s="4" t="inlineStr">
        <is>
          <t>2028</t>
        </is>
      </c>
      <c r="E133" s="4" t="inlineStr">
        <is>
          <t>2029</t>
        </is>
      </c>
      <c r="F133" s="4" t="inlineStr">
        <is>
          <t>2030</t>
        </is>
      </c>
      <c r="G133" s="4" t="inlineStr">
        <is>
          <t>2031</t>
        </is>
      </c>
      <c r="H133" s="4" t="inlineStr">
        <is>
          <t>2032</t>
        </is>
      </c>
      <c r="I133" s="4" t="inlineStr">
        <is>
          <t>2033</t>
        </is>
      </c>
      <c r="J133" s="4" t="inlineStr">
        <is>
          <t>2034</t>
        </is>
      </c>
      <c r="K133" s="4" t="inlineStr">
        <is>
          <t>2035</t>
        </is>
      </c>
    </row>
    <row r="134">
      <c r="A134" s="5" t="inlineStr">
        <is>
          <t>Starlink subscribers, year end (mm)</t>
        </is>
      </c>
      <c r="C134" s="24">
        <f>Scenarios!B57</f>
        <v/>
      </c>
      <c r="D134" s="24">
        <f>Scenarios!C57</f>
        <v/>
      </c>
      <c r="E134" s="24">
        <f>Scenarios!D57</f>
        <v/>
      </c>
      <c r="F134" s="24">
        <f>Scenarios!E57</f>
        <v/>
      </c>
      <c r="G134" s="24">
        <f>Scenarios!F57</f>
        <v/>
      </c>
      <c r="H134" s="24">
        <f>Scenarios!G57</f>
        <v/>
      </c>
      <c r="I134" s="24">
        <f>Scenarios!H57</f>
        <v/>
      </c>
      <c r="J134" s="24">
        <f>Scenarios!I57</f>
        <v/>
      </c>
      <c r="K134" s="24">
        <f>Scenarios!J57</f>
        <v/>
      </c>
    </row>
    <row r="135">
      <c r="A135" s="5" t="inlineStr">
        <is>
          <t>Starlink ARPU ($ / month)</t>
        </is>
      </c>
      <c r="C135" s="24">
        <f>Scenarios!B58</f>
        <v/>
      </c>
      <c r="D135" s="24">
        <f>Scenarios!C58</f>
        <v/>
      </c>
      <c r="E135" s="24">
        <f>Scenarios!D58</f>
        <v/>
      </c>
      <c r="F135" s="24">
        <f>Scenarios!E58</f>
        <v/>
      </c>
      <c r="G135" s="24">
        <f>Scenarios!F58</f>
        <v/>
      </c>
      <c r="H135" s="24">
        <f>Scenarios!G58</f>
        <v/>
      </c>
      <c r="I135" s="24">
        <f>Scenarios!H58</f>
        <v/>
      </c>
      <c r="J135" s="24">
        <f>Scenarios!I58</f>
        <v/>
      </c>
      <c r="K135" s="24">
        <f>Scenarios!J58</f>
        <v/>
      </c>
    </row>
    <row r="136">
      <c r="A136" s="5" t="inlineStr">
        <is>
          <t>Consumer revenue incl. kits</t>
        </is>
      </c>
      <c r="C136" s="25">
        <f>(C134+Inputs!$C$22)/2*C135*12/1000*(1+Inputs!$C$25)</f>
        <v/>
      </c>
      <c r="D136" s="25">
        <f>(D134+C134)/2*D135*12/1000*(1+Inputs!$C$25)</f>
        <v/>
      </c>
      <c r="E136" s="25">
        <f>(E134+D134)/2*E135*12/1000*(1+Inputs!$C$25)</f>
        <v/>
      </c>
      <c r="F136" s="25">
        <f>(F134+E134)/2*F135*12/1000*(1+Inputs!$C$25)</f>
        <v/>
      </c>
      <c r="G136" s="25">
        <f>(G134+F134)/2*G135*12/1000*(1+Inputs!$C$25)</f>
        <v/>
      </c>
      <c r="H136" s="25">
        <f>(H134+G134)/2*H135*12/1000*(1+Inputs!$C$25)</f>
        <v/>
      </c>
      <c r="I136" s="25">
        <f>(I134+H134)/2*I135*12/1000*(1+Inputs!$C$25)</f>
        <v/>
      </c>
      <c r="J136" s="25">
        <f>(J134+I134)/2*J135*12/1000*(1+Inputs!$C$25)</f>
        <v/>
      </c>
      <c r="K136" s="25">
        <f>(K134+J134)/2*K135*12/1000*(1+Inputs!$C$25)</f>
        <v/>
      </c>
    </row>
    <row r="137">
      <c r="A137" s="5" t="inlineStr">
        <is>
          <t>Enterprise &amp; government</t>
        </is>
      </c>
      <c r="C137" s="26">
        <f>Scenarios!B59</f>
        <v/>
      </c>
      <c r="D137" s="26">
        <f>Scenarios!C59</f>
        <v/>
      </c>
      <c r="E137" s="26">
        <f>Scenarios!D59</f>
        <v/>
      </c>
      <c r="F137" s="26">
        <f>Scenarios!E59</f>
        <v/>
      </c>
      <c r="G137" s="26">
        <f>Scenarios!F59</f>
        <v/>
      </c>
      <c r="H137" s="26">
        <f>Scenarios!G59</f>
        <v/>
      </c>
      <c r="I137" s="26">
        <f>Scenarios!H59</f>
        <v/>
      </c>
      <c r="J137" s="26">
        <f>Scenarios!I59</f>
        <v/>
      </c>
      <c r="K137" s="26">
        <f>Scenarios!J59</f>
        <v/>
      </c>
    </row>
    <row r="138">
      <c r="A138" s="5" t="inlineStr">
        <is>
          <t>Starlink Mobile</t>
        </is>
      </c>
      <c r="C138" s="26">
        <f>Scenarios!B60</f>
        <v/>
      </c>
      <c r="D138" s="26">
        <f>Scenarios!C60</f>
        <v/>
      </c>
      <c r="E138" s="26">
        <f>Scenarios!D60</f>
        <v/>
      </c>
      <c r="F138" s="26">
        <f>Scenarios!E60</f>
        <v/>
      </c>
      <c r="G138" s="26">
        <f>Scenarios!F60</f>
        <v/>
      </c>
      <c r="H138" s="26">
        <f>Scenarios!G60</f>
        <v/>
      </c>
      <c r="I138" s="26">
        <f>Scenarios!H60</f>
        <v/>
      </c>
      <c r="J138" s="26">
        <f>Scenarios!I60</f>
        <v/>
      </c>
      <c r="K138" s="26">
        <f>Scenarios!J60</f>
        <v/>
      </c>
    </row>
    <row r="139">
      <c r="A139" s="9" t="inlineStr">
        <is>
          <t>Connectivity revenue</t>
        </is>
      </c>
      <c r="C139" s="25">
        <f>C136+C137+C138</f>
        <v/>
      </c>
      <c r="D139" s="25">
        <f>D136+D137+D138</f>
        <v/>
      </c>
      <c r="E139" s="25">
        <f>E136+E137+E138</f>
        <v/>
      </c>
      <c r="F139" s="25">
        <f>F136+F137+F138</f>
        <v/>
      </c>
      <c r="G139" s="25">
        <f>G136+G137+G138</f>
        <v/>
      </c>
      <c r="H139" s="25">
        <f>H136+H137+H138</f>
        <v/>
      </c>
      <c r="I139" s="25">
        <f>I136+I137+I138</f>
        <v/>
      </c>
      <c r="J139" s="25">
        <f>J136+J137+J138</f>
        <v/>
      </c>
      <c r="K139" s="25">
        <f>K136+K137+K138</f>
        <v/>
      </c>
    </row>
    <row r="140">
      <c r="A140" s="5" t="inlineStr">
        <is>
          <t>Space revenue</t>
        </is>
      </c>
      <c r="C140" s="26">
        <f>Scenarios!B63</f>
        <v/>
      </c>
      <c r="D140" s="26">
        <f>Scenarios!C63</f>
        <v/>
      </c>
      <c r="E140" s="26">
        <f>Scenarios!D63</f>
        <v/>
      </c>
      <c r="F140" s="26">
        <f>Scenarios!E63</f>
        <v/>
      </c>
      <c r="G140" s="26">
        <f>Scenarios!F63</f>
        <v/>
      </c>
      <c r="H140" s="26">
        <f>Scenarios!G63</f>
        <v/>
      </c>
      <c r="I140" s="26">
        <f>Scenarios!H63</f>
        <v/>
      </c>
      <c r="J140" s="26">
        <f>Scenarios!I63</f>
        <v/>
      </c>
      <c r="K140" s="26">
        <f>Scenarios!J63</f>
        <v/>
      </c>
    </row>
    <row r="141">
      <c r="A141" s="5" t="inlineStr">
        <is>
          <t>AI compute, year end (GW)</t>
        </is>
      </c>
      <c r="C141" s="24">
        <f>Scenarios!B67</f>
        <v/>
      </c>
      <c r="D141" s="24">
        <f>Scenarios!C67</f>
        <v/>
      </c>
      <c r="E141" s="24">
        <f>Scenarios!D67</f>
        <v/>
      </c>
      <c r="F141" s="24">
        <f>Scenarios!E67</f>
        <v/>
      </c>
      <c r="G141" s="24">
        <f>Scenarios!F67</f>
        <v/>
      </c>
      <c r="H141" s="24">
        <f>Scenarios!G67</f>
        <v/>
      </c>
      <c r="I141" s="24">
        <f>Scenarios!H67</f>
        <v/>
      </c>
      <c r="J141" s="24">
        <f>Scenarios!I67</f>
        <v/>
      </c>
      <c r="K141" s="24">
        <f>Scenarios!J67</f>
        <v/>
      </c>
    </row>
    <row r="142">
      <c r="A142" s="5" t="inlineStr">
        <is>
          <t>Share rented</t>
        </is>
      </c>
      <c r="C142" s="6">
        <f>Scenarios!B68</f>
        <v/>
      </c>
      <c r="D142" s="6">
        <f>Scenarios!C68</f>
        <v/>
      </c>
      <c r="E142" s="6">
        <f>Scenarios!D68</f>
        <v/>
      </c>
      <c r="F142" s="6">
        <f>Scenarios!E68</f>
        <v/>
      </c>
      <c r="G142" s="6">
        <f>Scenarios!F68</f>
        <v/>
      </c>
      <c r="H142" s="6">
        <f>Scenarios!G68</f>
        <v/>
      </c>
      <c r="I142" s="6">
        <f>Scenarios!H68</f>
        <v/>
      </c>
      <c r="J142" s="6">
        <f>Scenarios!I68</f>
        <v/>
      </c>
      <c r="K142" s="6">
        <f>Scenarios!J68</f>
        <v/>
      </c>
    </row>
    <row r="143">
      <c r="A143" s="5" t="inlineStr">
        <is>
          <t>Revenue per watt-year ($)</t>
        </is>
      </c>
      <c r="C143" s="24">
        <f>Scenarios!B69</f>
        <v/>
      </c>
      <c r="D143" s="24">
        <f>Scenarios!C69</f>
        <v/>
      </c>
      <c r="E143" s="24">
        <f>Scenarios!D69</f>
        <v/>
      </c>
      <c r="F143" s="24">
        <f>Scenarios!E69</f>
        <v/>
      </c>
      <c r="G143" s="24">
        <f>Scenarios!F69</f>
        <v/>
      </c>
      <c r="H143" s="24">
        <f>Scenarios!G69</f>
        <v/>
      </c>
      <c r="I143" s="24">
        <f>Scenarios!H69</f>
        <v/>
      </c>
      <c r="J143" s="24">
        <f>Scenarios!I69</f>
        <v/>
      </c>
      <c r="K143" s="24">
        <f>Scenarios!J69</f>
        <v/>
      </c>
    </row>
    <row r="144">
      <c r="A144" s="5" t="inlineStr">
        <is>
          <t>Cloud services revenue</t>
        </is>
      </c>
      <c r="C144" s="25">
        <f>(C141+Inputs!$C$23)/2*C142*C143</f>
        <v/>
      </c>
      <c r="D144" s="25">
        <f>(D141+C141)/2*D142*D143</f>
        <v/>
      </c>
      <c r="E144" s="25">
        <f>(E141+D141)/2*E142*E143</f>
        <v/>
      </c>
      <c r="F144" s="25">
        <f>(F141+E141)/2*F142*F143</f>
        <v/>
      </c>
      <c r="G144" s="25">
        <f>(G141+F141)/2*G142*G143</f>
        <v/>
      </c>
      <c r="H144" s="25">
        <f>(H141+G141)/2*H142*H143</f>
        <v/>
      </c>
      <c r="I144" s="25">
        <f>(I141+H141)/2*I142*I143</f>
        <v/>
      </c>
      <c r="J144" s="25">
        <f>(J141+I141)/2*J142*J143</f>
        <v/>
      </c>
      <c r="K144" s="25">
        <f>(K141+J141)/2*K142*K143</f>
        <v/>
      </c>
    </row>
    <row r="145">
      <c r="A145" s="5" t="inlineStr">
        <is>
          <t>Grok / X / Cursor revenue</t>
        </is>
      </c>
      <c r="C145" s="26">
        <f>Scenarios!B72</f>
        <v/>
      </c>
      <c r="D145" s="26">
        <f>Scenarios!C72</f>
        <v/>
      </c>
      <c r="E145" s="26">
        <f>Scenarios!D72</f>
        <v/>
      </c>
      <c r="F145" s="26">
        <f>Scenarios!E72</f>
        <v/>
      </c>
      <c r="G145" s="26">
        <f>Scenarios!F72</f>
        <v/>
      </c>
      <c r="H145" s="26">
        <f>Scenarios!G72</f>
        <v/>
      </c>
      <c r="I145" s="26">
        <f>Scenarios!H72</f>
        <v/>
      </c>
      <c r="J145" s="26">
        <f>Scenarios!I72</f>
        <v/>
      </c>
      <c r="K145" s="26">
        <f>Scenarios!J72</f>
        <v/>
      </c>
    </row>
    <row r="146">
      <c r="A146" s="9" t="inlineStr">
        <is>
          <t>AI revenue</t>
        </is>
      </c>
      <c r="C146" s="25">
        <f>C144+C145</f>
        <v/>
      </c>
      <c r="D146" s="25">
        <f>D144+D145</f>
        <v/>
      </c>
      <c r="E146" s="25">
        <f>E144+E145</f>
        <v/>
      </c>
      <c r="F146" s="25">
        <f>F144+F145</f>
        <v/>
      </c>
      <c r="G146" s="25">
        <f>G144+G145</f>
        <v/>
      </c>
      <c r="H146" s="25">
        <f>H144+H145</f>
        <v/>
      </c>
      <c r="I146" s="25">
        <f>I144+I145</f>
        <v/>
      </c>
      <c r="J146" s="25">
        <f>J144+J145</f>
        <v/>
      </c>
      <c r="K146" s="25">
        <f>K144+K145</f>
        <v/>
      </c>
    </row>
    <row r="147">
      <c r="A147" s="9" t="inlineStr">
        <is>
          <t>Total revenue</t>
        </is>
      </c>
      <c r="C147" s="25">
        <f>C139+C140+C146</f>
        <v/>
      </c>
      <c r="D147" s="25">
        <f>D139+D140+D146</f>
        <v/>
      </c>
      <c r="E147" s="25">
        <f>E139+E140+E146</f>
        <v/>
      </c>
      <c r="F147" s="25">
        <f>F139+F140+F146</f>
        <v/>
      </c>
      <c r="G147" s="25">
        <f>G139+G140+G146</f>
        <v/>
      </c>
      <c r="H147" s="25">
        <f>H139+H140+H146</f>
        <v/>
      </c>
      <c r="I147" s="25">
        <f>I139+I140+I146</f>
        <v/>
      </c>
      <c r="J147" s="25">
        <f>J139+J140+J146</f>
        <v/>
      </c>
      <c r="K147" s="25">
        <f>K139+K140+K146</f>
        <v/>
      </c>
    </row>
    <row r="148">
      <c r="A148" s="5" t="inlineStr">
        <is>
          <t>Connectivity margin</t>
        </is>
      </c>
      <c r="C148" s="6">
        <f>Scenarios!B61</f>
        <v/>
      </c>
      <c r="D148" s="6">
        <f>Scenarios!C61</f>
        <v/>
      </c>
      <c r="E148" s="6">
        <f>Scenarios!D61</f>
        <v/>
      </c>
      <c r="F148" s="6">
        <f>Scenarios!E61</f>
        <v/>
      </c>
      <c r="G148" s="6">
        <f>Scenarios!F61</f>
        <v/>
      </c>
      <c r="H148" s="6">
        <f>Scenarios!G61</f>
        <v/>
      </c>
      <c r="I148" s="6">
        <f>Scenarios!H61</f>
        <v/>
      </c>
      <c r="J148" s="6">
        <f>Scenarios!I61</f>
        <v/>
      </c>
      <c r="K148" s="6">
        <f>Scenarios!J61</f>
        <v/>
      </c>
    </row>
    <row r="149">
      <c r="A149" s="5" t="inlineStr">
        <is>
          <t>Connectivity adj. EBITDA</t>
        </is>
      </c>
      <c r="C149" s="25">
        <f>C139*C148</f>
        <v/>
      </c>
      <c r="D149" s="25">
        <f>D139*D148</f>
        <v/>
      </c>
      <c r="E149" s="25">
        <f>E139*E148</f>
        <v/>
      </c>
      <c r="F149" s="25">
        <f>F139*F148</f>
        <v/>
      </c>
      <c r="G149" s="25">
        <f>G139*G148</f>
        <v/>
      </c>
      <c r="H149" s="25">
        <f>H139*H148</f>
        <v/>
      </c>
      <c r="I149" s="25">
        <f>I139*I148</f>
        <v/>
      </c>
      <c r="J149" s="25">
        <f>J139*J148</f>
        <v/>
      </c>
      <c r="K149" s="25">
        <f>K139*K148</f>
        <v/>
      </c>
    </row>
    <row r="150">
      <c r="A150" s="5" t="inlineStr">
        <is>
          <t>Space margin before Starship R&amp;D</t>
        </is>
      </c>
      <c r="C150" s="6">
        <f>Scenarios!B64</f>
        <v/>
      </c>
      <c r="D150" s="6">
        <f>Scenarios!C64</f>
        <v/>
      </c>
      <c r="E150" s="6">
        <f>Scenarios!D64</f>
        <v/>
      </c>
      <c r="F150" s="6">
        <f>Scenarios!E64</f>
        <v/>
      </c>
      <c r="G150" s="6">
        <f>Scenarios!F64</f>
        <v/>
      </c>
      <c r="H150" s="6">
        <f>Scenarios!G64</f>
        <v/>
      </c>
      <c r="I150" s="6">
        <f>Scenarios!H64</f>
        <v/>
      </c>
      <c r="J150" s="6">
        <f>Scenarios!I64</f>
        <v/>
      </c>
      <c r="K150" s="6">
        <f>Scenarios!J64</f>
        <v/>
      </c>
    </row>
    <row r="151">
      <c r="A151" s="5" t="inlineStr">
        <is>
          <t>Starship R&amp;D</t>
        </is>
      </c>
      <c r="C151" s="26">
        <f>Scenarios!B65</f>
        <v/>
      </c>
      <c r="D151" s="26">
        <f>Scenarios!C65</f>
        <v/>
      </c>
      <c r="E151" s="26">
        <f>Scenarios!D65</f>
        <v/>
      </c>
      <c r="F151" s="26">
        <f>Scenarios!E65</f>
        <v/>
      </c>
      <c r="G151" s="26">
        <f>Scenarios!F65</f>
        <v/>
      </c>
      <c r="H151" s="26">
        <f>Scenarios!G65</f>
        <v/>
      </c>
      <c r="I151" s="26">
        <f>Scenarios!H65</f>
        <v/>
      </c>
      <c r="J151" s="26">
        <f>Scenarios!I65</f>
        <v/>
      </c>
      <c r="K151" s="26">
        <f>Scenarios!J65</f>
        <v/>
      </c>
    </row>
    <row r="152">
      <c r="A152" s="5" t="inlineStr">
        <is>
          <t>Space adj. EBITDA</t>
        </is>
      </c>
      <c r="C152" s="25">
        <f>C140*C150-C151</f>
        <v/>
      </c>
      <c r="D152" s="25">
        <f>D140*D150-D151</f>
        <v/>
      </c>
      <c r="E152" s="25">
        <f>E140*E150-E151</f>
        <v/>
      </c>
      <c r="F152" s="25">
        <f>F140*F150-F151</f>
        <v/>
      </c>
      <c r="G152" s="25">
        <f>G140*G150-G151</f>
        <v/>
      </c>
      <c r="H152" s="25">
        <f>H140*H150-H151</f>
        <v/>
      </c>
      <c r="I152" s="25">
        <f>I140*I150-I151</f>
        <v/>
      </c>
      <c r="J152" s="25">
        <f>J140*J150-J151</f>
        <v/>
      </c>
      <c r="K152" s="25">
        <f>K140*K150-K151</f>
        <v/>
      </c>
    </row>
    <row r="153">
      <c r="A153" s="5" t="inlineStr">
        <is>
          <t>Cloud margin</t>
        </is>
      </c>
      <c r="C153" s="6">
        <f>Scenarios!B70</f>
        <v/>
      </c>
      <c r="D153" s="6">
        <f>Scenarios!C70</f>
        <v/>
      </c>
      <c r="E153" s="6">
        <f>Scenarios!D70</f>
        <v/>
      </c>
      <c r="F153" s="6">
        <f>Scenarios!E70</f>
        <v/>
      </c>
      <c r="G153" s="6">
        <f>Scenarios!F70</f>
        <v/>
      </c>
      <c r="H153" s="6">
        <f>Scenarios!G70</f>
        <v/>
      </c>
      <c r="I153" s="6">
        <f>Scenarios!H70</f>
        <v/>
      </c>
      <c r="J153" s="6">
        <f>Scenarios!I70</f>
        <v/>
      </c>
      <c r="K153" s="6">
        <f>Scenarios!J70</f>
        <v/>
      </c>
    </row>
    <row r="154">
      <c r="A154" s="5" t="inlineStr">
        <is>
          <t>Apps and ads margin</t>
        </is>
      </c>
      <c r="C154" s="6">
        <f>Scenarios!B73</f>
        <v/>
      </c>
      <c r="D154" s="6">
        <f>Scenarios!C73</f>
        <v/>
      </c>
      <c r="E154" s="6">
        <f>Scenarios!D73</f>
        <v/>
      </c>
      <c r="F154" s="6">
        <f>Scenarios!E73</f>
        <v/>
      </c>
      <c r="G154" s="6">
        <f>Scenarios!F73</f>
        <v/>
      </c>
      <c r="H154" s="6">
        <f>Scenarios!G73</f>
        <v/>
      </c>
      <c r="I154" s="6">
        <f>Scenarios!H73</f>
        <v/>
      </c>
      <c r="J154" s="6">
        <f>Scenarios!I73</f>
        <v/>
      </c>
      <c r="K154" s="6">
        <f>Scenarios!J73</f>
        <v/>
      </c>
    </row>
    <row r="155">
      <c r="A155" s="5" t="inlineStr">
        <is>
          <t>Frontier-model R&amp;D</t>
        </is>
      </c>
      <c r="C155" s="26">
        <f>Scenarios!B74</f>
        <v/>
      </c>
      <c r="D155" s="26">
        <f>Scenarios!C74</f>
        <v/>
      </c>
      <c r="E155" s="26">
        <f>Scenarios!D74</f>
        <v/>
      </c>
      <c r="F155" s="26">
        <f>Scenarios!E74</f>
        <v/>
      </c>
      <c r="G155" s="26">
        <f>Scenarios!F74</f>
        <v/>
      </c>
      <c r="H155" s="26">
        <f>Scenarios!G74</f>
        <v/>
      </c>
      <c r="I155" s="26">
        <f>Scenarios!H74</f>
        <v/>
      </c>
      <c r="J155" s="26">
        <f>Scenarios!I74</f>
        <v/>
      </c>
      <c r="K155" s="26">
        <f>Scenarios!J74</f>
        <v/>
      </c>
    </row>
    <row r="156">
      <c r="A156" s="5" t="inlineStr">
        <is>
          <t>AI adj. EBITDA</t>
        </is>
      </c>
      <c r="C156" s="25">
        <f>C144*C153+C145*C154-C155</f>
        <v/>
      </c>
      <c r="D156" s="25">
        <f>D144*D153+D145*D154-D155</f>
        <v/>
      </c>
      <c r="E156" s="25">
        <f>E144*E153+E145*E154-E155</f>
        <v/>
      </c>
      <c r="F156" s="25">
        <f>F144*F153+F145*F154-F155</f>
        <v/>
      </c>
      <c r="G156" s="25">
        <f>G144*G153+G145*G154-G155</f>
        <v/>
      </c>
      <c r="H156" s="25">
        <f>H144*H153+H145*H154-H155</f>
        <v/>
      </c>
      <c r="I156" s="25">
        <f>I144*I153+I145*I154-I155</f>
        <v/>
      </c>
      <c r="J156" s="25">
        <f>J144*J153+J145*J154-J155</f>
        <v/>
      </c>
      <c r="K156" s="25">
        <f>K144*K153+K145*K154-K155</f>
        <v/>
      </c>
    </row>
    <row r="157">
      <c r="A157" s="9" t="inlineStr">
        <is>
          <t>Adjusted EBITDA (before stock comp)</t>
        </is>
      </c>
      <c r="C157" s="25">
        <f>C149+C152+C156</f>
        <v/>
      </c>
      <c r="D157" s="25">
        <f>D149+D152+D156</f>
        <v/>
      </c>
      <c r="E157" s="25">
        <f>E149+E152+E156</f>
        <v/>
      </c>
      <c r="F157" s="25">
        <f>F149+F152+F156</f>
        <v/>
      </c>
      <c r="G157" s="25">
        <f>G149+G152+G156</f>
        <v/>
      </c>
      <c r="H157" s="25">
        <f>H149+H152+H156</f>
        <v/>
      </c>
      <c r="I157" s="25">
        <f>I149+I152+I156</f>
        <v/>
      </c>
      <c r="J157" s="25">
        <f>J149+J152+J156</f>
        <v/>
      </c>
      <c r="K157" s="25">
        <f>K149+K152+K156</f>
        <v/>
      </c>
    </row>
    <row r="158">
      <c r="A158" s="5" t="inlineStr">
        <is>
          <t>Stock comp, % of revenue</t>
        </is>
      </c>
      <c r="C158" s="6">
        <f>Scenarios!B75</f>
        <v/>
      </c>
      <c r="D158" s="6">
        <f>Scenarios!C75</f>
        <v/>
      </c>
      <c r="E158" s="6">
        <f>Scenarios!D75</f>
        <v/>
      </c>
      <c r="F158" s="6">
        <f>Scenarios!E75</f>
        <v/>
      </c>
      <c r="G158" s="6">
        <f>Scenarios!F75</f>
        <v/>
      </c>
      <c r="H158" s="6">
        <f>Scenarios!G75</f>
        <v/>
      </c>
      <c r="I158" s="6">
        <f>Scenarios!H75</f>
        <v/>
      </c>
      <c r="J158" s="6">
        <f>Scenarios!I75</f>
        <v/>
      </c>
      <c r="K158" s="6">
        <f>Scenarios!J75</f>
        <v/>
      </c>
    </row>
    <row r="159">
      <c r="A159" s="5" t="inlineStr">
        <is>
          <t>Stock-based compensation</t>
        </is>
      </c>
      <c r="C159" s="25">
        <f>C147*C158</f>
        <v/>
      </c>
      <c r="D159" s="25">
        <f>D147*D158</f>
        <v/>
      </c>
      <c r="E159" s="25">
        <f>E147*E158</f>
        <v/>
      </c>
      <c r="F159" s="25">
        <f>F147*F158</f>
        <v/>
      </c>
      <c r="G159" s="25">
        <f>G147*G158</f>
        <v/>
      </c>
      <c r="H159" s="25">
        <f>H147*H158</f>
        <v/>
      </c>
      <c r="I159" s="25">
        <f>I147*I158</f>
        <v/>
      </c>
      <c r="J159" s="25">
        <f>J147*J158</f>
        <v/>
      </c>
      <c r="K159" s="25">
        <f>K147*K158</f>
        <v/>
      </c>
    </row>
    <row r="160">
      <c r="A160" s="9" t="inlineStr">
        <is>
          <t>EBITDA after stock comp</t>
        </is>
      </c>
      <c r="C160" s="25">
        <f>C157-C159</f>
        <v/>
      </c>
      <c r="D160" s="25">
        <f>D157-D159</f>
        <v/>
      </c>
      <c r="E160" s="25">
        <f>E157-E159</f>
        <v/>
      </c>
      <c r="F160" s="25">
        <f>F157-F159</f>
        <v/>
      </c>
      <c r="G160" s="25">
        <f>G157-G159</f>
        <v/>
      </c>
      <c r="H160" s="25">
        <f>H157-H159</f>
        <v/>
      </c>
      <c r="I160" s="25">
        <f>I157-I159</f>
        <v/>
      </c>
      <c r="J160" s="25">
        <f>J157-J159</f>
        <v/>
      </c>
      <c r="K160" s="25">
        <f>K157-K159</f>
        <v/>
      </c>
    </row>
    <row r="161">
      <c r="A161" s="5" t="inlineStr">
        <is>
          <t>AI capex per watt ($)</t>
        </is>
      </c>
      <c r="C161" s="24">
        <f>Scenarios!B71</f>
        <v/>
      </c>
      <c r="D161" s="24">
        <f>Scenarios!C71</f>
        <v/>
      </c>
      <c r="E161" s="24">
        <f>Scenarios!D71</f>
        <v/>
      </c>
      <c r="F161" s="24">
        <f>Scenarios!E71</f>
        <v/>
      </c>
      <c r="G161" s="24">
        <f>Scenarios!F71</f>
        <v/>
      </c>
      <c r="H161" s="24">
        <f>Scenarios!G71</f>
        <v/>
      </c>
      <c r="I161" s="24">
        <f>Scenarios!H71</f>
        <v/>
      </c>
      <c r="J161" s="24">
        <f>Scenarios!I71</f>
        <v/>
      </c>
      <c r="K161" s="24">
        <f>Scenarios!J71</f>
        <v/>
      </c>
    </row>
    <row r="162">
      <c r="A162" s="5" t="inlineStr">
        <is>
          <t>AI depreciation</t>
        </is>
      </c>
      <c r="C162" s="25">
        <f>(C141+Inputs!$C$23)/2*C161/Inputs!$C$27</f>
        <v/>
      </c>
      <c r="D162" s="25">
        <f>(D141+C141)/2*D161/Inputs!$C$27</f>
        <v/>
      </c>
      <c r="E162" s="25">
        <f>(E141+D141)/2*E161/Inputs!$C$27</f>
        <v/>
      </c>
      <c r="F162" s="25">
        <f>(F141+E141)/2*F161/Inputs!$C$27</f>
        <v/>
      </c>
      <c r="G162" s="25">
        <f>(G141+F141)/2*G161/Inputs!$C$27</f>
        <v/>
      </c>
      <c r="H162" s="25">
        <f>(H141+G141)/2*H161/Inputs!$C$27</f>
        <v/>
      </c>
      <c r="I162" s="25">
        <f>(I141+H141)/2*I161/Inputs!$C$27</f>
        <v/>
      </c>
      <c r="J162" s="25">
        <f>(J141+I141)/2*J161/Inputs!$C$27</f>
        <v/>
      </c>
      <c r="K162" s="25">
        <f>(K141+J141)/2*K161/Inputs!$C$27</f>
        <v/>
      </c>
    </row>
    <row r="163">
      <c r="A163" s="5" t="inlineStr">
        <is>
          <t>Depreciation &amp; amortization</t>
        </is>
      </c>
      <c r="C163" s="25">
        <f>(C139+C140)*Inputs!$C$26+C162</f>
        <v/>
      </c>
      <c r="D163" s="25">
        <f>(D139+D140)*Inputs!$C$26+D162</f>
        <v/>
      </c>
      <c r="E163" s="25">
        <f>(E139+E140)*Inputs!$C$26+E162</f>
        <v/>
      </c>
      <c r="F163" s="25">
        <f>(F139+F140)*Inputs!$C$26+F162</f>
        <v/>
      </c>
      <c r="G163" s="25">
        <f>(G139+G140)*Inputs!$C$26+G162</f>
        <v/>
      </c>
      <c r="H163" s="25">
        <f>(H139+H140)*Inputs!$C$26+H162</f>
        <v/>
      </c>
      <c r="I163" s="25">
        <f>(I139+I140)*Inputs!$C$26+I162</f>
        <v/>
      </c>
      <c r="J163" s="25">
        <f>(J139+J140)*Inputs!$C$26+J162</f>
        <v/>
      </c>
      <c r="K163" s="25">
        <f>(K139+K140)*Inputs!$C$26+K162</f>
        <v/>
      </c>
    </row>
    <row r="164">
      <c r="A164" s="9" t="inlineStr">
        <is>
          <t>EBIT</t>
        </is>
      </c>
      <c r="C164" s="25">
        <f>C160-C163</f>
        <v/>
      </c>
      <c r="D164" s="25">
        <f>D160-D163</f>
        <v/>
      </c>
      <c r="E164" s="25">
        <f>E160-E163</f>
        <v/>
      </c>
      <c r="F164" s="25">
        <f>F160-F163</f>
        <v/>
      </c>
      <c r="G164" s="25">
        <f>G160-G163</f>
        <v/>
      </c>
      <c r="H164" s="25">
        <f>H160-H163</f>
        <v/>
      </c>
      <c r="I164" s="25">
        <f>I160-I163</f>
        <v/>
      </c>
      <c r="J164" s="25">
        <f>J160-J163</f>
        <v/>
      </c>
      <c r="K164" s="25">
        <f>K160-K163</f>
        <v/>
      </c>
    </row>
    <row r="165">
      <c r="A165" s="5" t="inlineStr">
        <is>
          <t>EBIT margin</t>
        </is>
      </c>
      <c r="C165" s="8">
        <f>IF(C147=0,0,C164/C147)</f>
        <v/>
      </c>
      <c r="D165" s="8">
        <f>IF(D147=0,0,D164/D147)</f>
        <v/>
      </c>
      <c r="E165" s="8">
        <f>IF(E147=0,0,E164/E147)</f>
        <v/>
      </c>
      <c r="F165" s="8">
        <f>IF(F147=0,0,F164/F147)</f>
        <v/>
      </c>
      <c r="G165" s="8">
        <f>IF(G147=0,0,G164/G147)</f>
        <v/>
      </c>
      <c r="H165" s="8">
        <f>IF(H147=0,0,H164/H147)</f>
        <v/>
      </c>
      <c r="I165" s="8">
        <f>IF(I147=0,0,I164/I147)</f>
        <v/>
      </c>
      <c r="J165" s="8">
        <f>IF(J147=0,0,J164/J147)</f>
        <v/>
      </c>
      <c r="K165" s="8">
        <f>IF(K147=0,0,K164/K147)</f>
        <v/>
      </c>
    </row>
    <row r="166">
      <c r="A166" s="5" t="inlineStr">
        <is>
          <t>AI capex</t>
        </is>
      </c>
      <c r="C166" s="25">
        <f>MAX(0,C141-Inputs!$C$23*(1-1/Inputs!$C$27))*C161</f>
        <v/>
      </c>
      <c r="D166" s="25">
        <f>MAX(0,D141-C141*(1-1/Inputs!$C$27))*D161</f>
        <v/>
      </c>
      <c r="E166" s="25">
        <f>MAX(0,E141-D141*(1-1/Inputs!$C$27))*E161</f>
        <v/>
      </c>
      <c r="F166" s="25">
        <f>MAX(0,F141-E141*(1-1/Inputs!$C$27))*F161</f>
        <v/>
      </c>
      <c r="G166" s="25">
        <f>MAX(0,G141-F141*(1-1/Inputs!$C$27))*G161</f>
        <v/>
      </c>
      <c r="H166" s="25">
        <f>MAX(0,H141-G141*(1-1/Inputs!$C$27))*H161</f>
        <v/>
      </c>
      <c r="I166" s="25">
        <f>MAX(0,I141-H141*(1-1/Inputs!$C$27))*I161</f>
        <v/>
      </c>
      <c r="J166" s="25">
        <f>MAX(0,J141-I141*(1-1/Inputs!$C$27))*J161</f>
        <v/>
      </c>
      <c r="K166" s="25">
        <f>MAX(0,K141-J141*(1-1/Inputs!$C$27))*K161</f>
        <v/>
      </c>
    </row>
    <row r="167">
      <c r="A167" s="5" t="inlineStr">
        <is>
          <t>Connectivity capex, % of revenue</t>
        </is>
      </c>
      <c r="C167" s="6">
        <f>Scenarios!B62</f>
        <v/>
      </c>
      <c r="D167" s="6">
        <f>Scenarios!C62</f>
        <v/>
      </c>
      <c r="E167" s="6">
        <f>Scenarios!D62</f>
        <v/>
      </c>
      <c r="F167" s="6">
        <f>Scenarios!E62</f>
        <v/>
      </c>
      <c r="G167" s="6">
        <f>Scenarios!F62</f>
        <v/>
      </c>
      <c r="H167" s="6">
        <f>Scenarios!G62</f>
        <v/>
      </c>
      <c r="I167" s="6">
        <f>Scenarios!H62</f>
        <v/>
      </c>
      <c r="J167" s="6">
        <f>Scenarios!I62</f>
        <v/>
      </c>
      <c r="K167" s="6">
        <f>Scenarios!J62</f>
        <v/>
      </c>
    </row>
    <row r="168">
      <c r="A168" s="5" t="inlineStr">
        <is>
          <t>Connectivity capex</t>
        </is>
      </c>
      <c r="C168" s="25">
        <f>C139*C167</f>
        <v/>
      </c>
      <c r="D168" s="25">
        <f>D139*D167</f>
        <v/>
      </c>
      <c r="E168" s="25">
        <f>E139*E167</f>
        <v/>
      </c>
      <c r="F168" s="25">
        <f>F139*F167</f>
        <v/>
      </c>
      <c r="G168" s="25">
        <f>G139*G167</f>
        <v/>
      </c>
      <c r="H168" s="25">
        <f>H139*H167</f>
        <v/>
      </c>
      <c r="I168" s="25">
        <f>I139*I167</f>
        <v/>
      </c>
      <c r="J168" s="25">
        <f>J139*J167</f>
        <v/>
      </c>
      <c r="K168" s="25">
        <f>K139*K167</f>
        <v/>
      </c>
    </row>
    <row r="169">
      <c r="A169" s="5" t="inlineStr">
        <is>
          <t>Space capex</t>
        </is>
      </c>
      <c r="C169" s="26">
        <f>Scenarios!B66</f>
        <v/>
      </c>
      <c r="D169" s="26">
        <f>Scenarios!C66</f>
        <v/>
      </c>
      <c r="E169" s="26">
        <f>Scenarios!D66</f>
        <v/>
      </c>
      <c r="F169" s="26">
        <f>Scenarios!E66</f>
        <v/>
      </c>
      <c r="G169" s="26">
        <f>Scenarios!F66</f>
        <v/>
      </c>
      <c r="H169" s="26">
        <f>Scenarios!G66</f>
        <v/>
      </c>
      <c r="I169" s="26">
        <f>Scenarios!H66</f>
        <v/>
      </c>
      <c r="J169" s="26">
        <f>Scenarios!I66</f>
        <v/>
      </c>
      <c r="K169" s="26">
        <f>Scenarios!J66</f>
        <v/>
      </c>
    </row>
    <row r="170">
      <c r="A170" s="9" t="inlineStr">
        <is>
          <t>Capital expenditures</t>
        </is>
      </c>
      <c r="C170" s="25">
        <f>C166+C168+C169</f>
        <v/>
      </c>
      <c r="D170" s="25">
        <f>D166+D168+D169</f>
        <v/>
      </c>
      <c r="E170" s="25">
        <f>E166+E168+E169</f>
        <v/>
      </c>
      <c r="F170" s="25">
        <f>F166+F168+F169</f>
        <v/>
      </c>
      <c r="G170" s="25">
        <f>G166+G168+G169</f>
        <v/>
      </c>
      <c r="H170" s="25">
        <f>H166+H168+H169</f>
        <v/>
      </c>
      <c r="I170" s="25">
        <f>I166+I168+I169</f>
        <v/>
      </c>
      <c r="J170" s="25">
        <f>J166+J168+J169</f>
        <v/>
      </c>
      <c r="K170" s="25">
        <f>K166+K168+K169</f>
        <v/>
      </c>
    </row>
    <row r="171">
      <c r="A171" s="5" t="inlineStr">
        <is>
          <t>Net operating losses, start</t>
        </is>
      </c>
      <c r="C171" s="25">
        <f>Inputs!$C$28</f>
        <v/>
      </c>
      <c r="D171" s="25">
        <f>C174</f>
        <v/>
      </c>
      <c r="E171" s="25">
        <f>D174</f>
        <v/>
      </c>
      <c r="F171" s="25">
        <f>E174</f>
        <v/>
      </c>
      <c r="G171" s="25">
        <f>F174</f>
        <v/>
      </c>
      <c r="H171" s="25">
        <f>G174</f>
        <v/>
      </c>
      <c r="I171" s="25">
        <f>H174</f>
        <v/>
      </c>
      <c r="J171" s="25">
        <f>I174</f>
        <v/>
      </c>
      <c r="K171" s="25">
        <f>J174</f>
        <v/>
      </c>
    </row>
    <row r="172">
      <c r="A172" s="5" t="inlineStr">
        <is>
          <t>Losses used</t>
        </is>
      </c>
      <c r="C172" s="25">
        <f>MIN(C171,MAX(0,C164))</f>
        <v/>
      </c>
      <c r="D172" s="25">
        <f>MIN(D171,MAX(0,D164))</f>
        <v/>
      </c>
      <c r="E172" s="25">
        <f>MIN(E171,MAX(0,E164))</f>
        <v/>
      </c>
      <c r="F172" s="25">
        <f>MIN(F171,MAX(0,F164))</f>
        <v/>
      </c>
      <c r="G172" s="25">
        <f>MIN(G171,MAX(0,G164))</f>
        <v/>
      </c>
      <c r="H172" s="25">
        <f>MIN(H171,MAX(0,H164))</f>
        <v/>
      </c>
      <c r="I172" s="25">
        <f>MIN(I171,MAX(0,I164))</f>
        <v/>
      </c>
      <c r="J172" s="25">
        <f>MIN(J171,MAX(0,J164))</f>
        <v/>
      </c>
      <c r="K172" s="25">
        <f>MIN(K171,MAX(0,K164))</f>
        <v/>
      </c>
    </row>
    <row r="173">
      <c r="A173" s="5" t="inlineStr">
        <is>
          <t>Cash taxes</t>
        </is>
      </c>
      <c r="C173" s="25">
        <f>Inputs!$C$29*MAX(0,C164-C172)</f>
        <v/>
      </c>
      <c r="D173" s="25">
        <f>Inputs!$C$29*MAX(0,D164-D172)</f>
        <v/>
      </c>
      <c r="E173" s="25">
        <f>Inputs!$C$29*MAX(0,E164-E172)</f>
        <v/>
      </c>
      <c r="F173" s="25">
        <f>Inputs!$C$29*MAX(0,F164-F172)</f>
        <v/>
      </c>
      <c r="G173" s="25">
        <f>Inputs!$C$29*MAX(0,G164-G172)</f>
        <v/>
      </c>
      <c r="H173" s="25">
        <f>Inputs!$C$29*MAX(0,H164-H172)</f>
        <v/>
      </c>
      <c r="I173" s="25">
        <f>Inputs!$C$29*MAX(0,I164-I172)</f>
        <v/>
      </c>
      <c r="J173" s="25">
        <f>Inputs!$C$29*MAX(0,J164-J172)</f>
        <v/>
      </c>
      <c r="K173" s="25">
        <f>Inputs!$C$29*MAX(0,K164-K172)</f>
        <v/>
      </c>
    </row>
    <row r="174">
      <c r="A174" s="5" t="inlineStr">
        <is>
          <t>Net operating losses, end</t>
        </is>
      </c>
      <c r="C174" s="25">
        <f>C171-C172+MAX(0,-C164)</f>
        <v/>
      </c>
      <c r="D174" s="25">
        <f>D171-D172+MAX(0,-D164)</f>
        <v/>
      </c>
      <c r="E174" s="25">
        <f>E171-E172+MAX(0,-E164)</f>
        <v/>
      </c>
      <c r="F174" s="25">
        <f>F171-F172+MAX(0,-F164)</f>
        <v/>
      </c>
      <c r="G174" s="25">
        <f>G171-G172+MAX(0,-G164)</f>
        <v/>
      </c>
      <c r="H174" s="25">
        <f>H171-H172+MAX(0,-H164)</f>
        <v/>
      </c>
      <c r="I174" s="25">
        <f>I171-I172+MAX(0,-I164)</f>
        <v/>
      </c>
      <c r="J174" s="25">
        <f>J171-J172+MAX(0,-J164)</f>
        <v/>
      </c>
      <c r="K174" s="25">
        <f>K171-K172+MAX(0,-K164)</f>
        <v/>
      </c>
    </row>
    <row r="175">
      <c r="A175" s="5" t="inlineStr">
        <is>
          <t>Spectrum payments</t>
        </is>
      </c>
      <c r="C175" s="26">
        <f>Scenarios!B76</f>
        <v/>
      </c>
      <c r="D175" s="26">
        <f>Scenarios!C76</f>
        <v/>
      </c>
      <c r="E175" s="26">
        <f>Scenarios!D76</f>
        <v/>
      </c>
      <c r="F175" s="26">
        <f>Scenarios!E76</f>
        <v/>
      </c>
      <c r="G175" s="26">
        <f>Scenarios!F76</f>
        <v/>
      </c>
      <c r="H175" s="26">
        <f>Scenarios!G76</f>
        <v/>
      </c>
      <c r="I175" s="26">
        <f>Scenarios!H76</f>
        <v/>
      </c>
      <c r="J175" s="26">
        <f>Scenarios!I76</f>
        <v/>
      </c>
      <c r="K175" s="26">
        <f>Scenarios!J76</f>
        <v/>
      </c>
    </row>
    <row r="176">
      <c r="A176" s="9" t="inlineStr">
        <is>
          <t>Unlevered free cash flow</t>
        </is>
      </c>
      <c r="C176" s="25">
        <f>C160-C173-C170-C175</f>
        <v/>
      </c>
      <c r="D176" s="25">
        <f>D160-D173-D170-D175</f>
        <v/>
      </c>
      <c r="E176" s="25">
        <f>E160-E173-E170-E175</f>
        <v/>
      </c>
      <c r="F176" s="25">
        <f>F160-F173-F170-F175</f>
        <v/>
      </c>
      <c r="G176" s="25">
        <f>G160-G173-G170-G175</f>
        <v/>
      </c>
      <c r="H176" s="25">
        <f>H160-H173-H170-H175</f>
        <v/>
      </c>
      <c r="I176" s="25">
        <f>I160-I173-I170-I175</f>
        <v/>
      </c>
      <c r="J176" s="25">
        <f>J160-J173-J170-J175</f>
        <v/>
      </c>
      <c r="K176" s="25">
        <f>K160-K173-K170-K175</f>
        <v/>
      </c>
    </row>
    <row r="177">
      <c r="A177" s="5" t="inlineStr">
        <is>
          <t>Discount period (years)</t>
        </is>
      </c>
      <c r="C177" s="27">
        <f>2027+0.5-Inputs!$C$21</f>
        <v/>
      </c>
      <c r="D177" s="27">
        <f>2028+0.5-Inputs!$C$21</f>
        <v/>
      </c>
      <c r="E177" s="27">
        <f>2029+0.5-Inputs!$C$21</f>
        <v/>
      </c>
      <c r="F177" s="27">
        <f>2030+0.5-Inputs!$C$21</f>
        <v/>
      </c>
      <c r="G177" s="27">
        <f>2031+0.5-Inputs!$C$21</f>
        <v/>
      </c>
      <c r="H177" s="27">
        <f>2032+0.5-Inputs!$C$21</f>
        <v/>
      </c>
      <c r="I177" s="27">
        <f>2033+0.5-Inputs!$C$21</f>
        <v/>
      </c>
      <c r="J177" s="27">
        <f>2034+0.5-Inputs!$C$21</f>
        <v/>
      </c>
      <c r="K177" s="27">
        <f>2035+0.5-Inputs!$C$21</f>
        <v/>
      </c>
    </row>
    <row r="178">
      <c r="A178" s="5" t="inlineStr">
        <is>
          <t>Discount factor</t>
        </is>
      </c>
      <c r="C178" s="28">
        <f>1/(1+Inputs!$C$38)^C177</f>
        <v/>
      </c>
      <c r="D178" s="28">
        <f>1/(1+Inputs!$C$38)^D177</f>
        <v/>
      </c>
      <c r="E178" s="28">
        <f>1/(1+Inputs!$C$38)^E177</f>
        <v/>
      </c>
      <c r="F178" s="28">
        <f>1/(1+Inputs!$C$38)^F177</f>
        <v/>
      </c>
      <c r="G178" s="28">
        <f>1/(1+Inputs!$C$38)^G177</f>
        <v/>
      </c>
      <c r="H178" s="28">
        <f>1/(1+Inputs!$C$38)^H177</f>
        <v/>
      </c>
      <c r="I178" s="28">
        <f>1/(1+Inputs!$C$38)^I177</f>
        <v/>
      </c>
      <c r="J178" s="28">
        <f>1/(1+Inputs!$C$38)^J177</f>
        <v/>
      </c>
      <c r="K178" s="28">
        <f>1/(1+Inputs!$C$38)^K177</f>
        <v/>
      </c>
    </row>
    <row r="179">
      <c r="A179" s="9" t="inlineStr">
        <is>
          <t>PV of unlevered FCF</t>
        </is>
      </c>
      <c r="C179" s="25">
        <f>C176*C178</f>
        <v/>
      </c>
      <c r="D179" s="25">
        <f>D176*D178</f>
        <v/>
      </c>
      <c r="E179" s="25">
        <f>E176*E178</f>
        <v/>
      </c>
      <c r="F179" s="25">
        <f>F176*F178</f>
        <v/>
      </c>
      <c r="G179" s="25">
        <f>G176*G178</f>
        <v/>
      </c>
      <c r="H179" s="25">
        <f>H176*H178</f>
        <v/>
      </c>
      <c r="I179" s="25">
        <f>I176*I178</f>
        <v/>
      </c>
      <c r="J179" s="25">
        <f>J176*J178</f>
        <v/>
      </c>
      <c r="K179" s="25">
        <f>K176*K178</f>
        <v/>
      </c>
    </row>
    <row r="181">
      <c r="A181" s="5" t="inlineStr">
        <is>
          <t>Normalized terminal FCF (2035)</t>
        </is>
      </c>
      <c r="C181" s="25">
        <f>K164*(1-Inputs!$C$42)+K163*(1-Inputs!$C$43)-Inputs!$C$44*K147*Inputs!$C$41</f>
        <v/>
      </c>
    </row>
    <row r="182">
      <c r="A182" s="5" t="inlineStr">
        <is>
          <t>Terminal value, exit multiple</t>
        </is>
      </c>
      <c r="C182" s="25">
        <f>K160*Inputs!$C$40</f>
        <v/>
      </c>
    </row>
    <row r="183">
      <c r="A183" s="5" t="inlineStr">
        <is>
          <t>Terminal value, perpetual growth (cross-check)</t>
        </is>
      </c>
      <c r="C183" s="25">
        <f>$C$181*(1+Inputs!$C$41)/(Inputs!$C$38-Inputs!$C$41)</f>
        <v/>
      </c>
    </row>
    <row r="184">
      <c r="A184" s="5" t="inlineStr">
        <is>
          <t>PV of 2027-2035 FCF + H2 2026 stub</t>
        </is>
      </c>
      <c r="C184" s="25">
        <f>SUM(C179:K179)+Inputs!$C$20</f>
        <v/>
      </c>
    </row>
    <row r="185">
      <c r="A185" s="5" t="inlineStr">
        <is>
          <t>PV of terminal value (exit multiple, end-2035 value)</t>
        </is>
      </c>
      <c r="C185" s="25">
        <f>$C$182/(1+Inputs!$C$38)^(K177+0.5)</f>
        <v/>
      </c>
    </row>
    <row r="186">
      <c r="A186" s="29" t="inlineStr">
        <is>
          <t>Enterprise value</t>
        </is>
      </c>
      <c r="C186" s="30">
        <f>$C$184+$C$185</f>
        <v/>
      </c>
    </row>
    <row r="187">
      <c r="A187" s="5" t="inlineStr">
        <is>
          <t>Equity value</t>
        </is>
      </c>
      <c r="C187" s="25">
        <f>$C$186+Inputs!$C$17</f>
        <v/>
      </c>
    </row>
    <row r="188">
      <c r="A188" s="5" t="inlineStr">
        <is>
          <t>DCF value per share ($)</t>
        </is>
      </c>
      <c r="C188" s="11">
        <f>MAX(0,$C$187*1000/Inputs!$C$12)</f>
        <v/>
      </c>
    </row>
    <row r="189">
      <c r="A189" s="5" t="inlineStr">
        <is>
          <t>Strategic floor per share ($)</t>
        </is>
      </c>
      <c r="C189" s="18" t="n">
        <v>0</v>
      </c>
    </row>
    <row r="190">
      <c r="A190" s="29" t="inlineStr">
        <is>
          <t>Value per share ($)</t>
        </is>
      </c>
      <c r="C190" s="31">
        <f>MAX($C$188,$C$189)</f>
        <v/>
      </c>
    </row>
    <row r="191">
      <c r="A191" s="5" t="inlineStr">
        <is>
          <t>Cross-check: value per share at perpetual growth ($)</t>
        </is>
      </c>
      <c r="C191" s="11">
        <f>MAX(0,($C$184+$C$183*K178+Inputs!$C$17)*1000/Inputs!$C$12)</f>
        <v/>
      </c>
    </row>
    <row r="192">
      <c r="A192" s="5" t="inlineStr">
        <is>
          <t>Perpetual growth implied by the exit multiple</t>
        </is>
      </c>
      <c r="C192" s="8">
        <f>($C$182*Inputs!$C$38-$C$181)/($C$182+$C$181)</f>
        <v/>
      </c>
    </row>
    <row r="193">
      <c r="A193" s="5" t="inlineStr">
        <is>
          <t>Value per share excl. Musk unvested shares ($)</t>
        </is>
      </c>
      <c r="C193" s="11">
        <f>MAX(0,$C$187*1000/Inputs!$C$13)</f>
        <v/>
      </c>
    </row>
    <row r="196">
      <c r="A196" s="9" t="inlineStr">
        <is>
          <t>Right tail case</t>
        </is>
      </c>
    </row>
    <row r="197">
      <c r="A197" s="3" t="inlineStr">
        <is>
          <t>Line item</t>
        </is>
      </c>
      <c r="B197" s="4" t="inlineStr"/>
      <c r="C197" s="4" t="inlineStr">
        <is>
          <t>2027</t>
        </is>
      </c>
      <c r="D197" s="4" t="inlineStr">
        <is>
          <t>2028</t>
        </is>
      </c>
      <c r="E197" s="4" t="inlineStr">
        <is>
          <t>2029</t>
        </is>
      </c>
      <c r="F197" s="4" t="inlineStr">
        <is>
          <t>2030</t>
        </is>
      </c>
      <c r="G197" s="4" t="inlineStr">
        <is>
          <t>2031</t>
        </is>
      </c>
      <c r="H197" s="4" t="inlineStr">
        <is>
          <t>2032</t>
        </is>
      </c>
      <c r="I197" s="4" t="inlineStr">
        <is>
          <t>2033</t>
        </is>
      </c>
      <c r="J197" s="4" t="inlineStr">
        <is>
          <t>2034</t>
        </is>
      </c>
      <c r="K197" s="4" t="inlineStr">
        <is>
          <t>2035</t>
        </is>
      </c>
    </row>
    <row r="198">
      <c r="A198" s="5" t="inlineStr">
        <is>
          <t>Starlink subscribers, year end (mm)</t>
        </is>
      </c>
      <c r="C198" s="24">
        <f>Scenarios!B82</f>
        <v/>
      </c>
      <c r="D198" s="24">
        <f>Scenarios!C82</f>
        <v/>
      </c>
      <c r="E198" s="24">
        <f>Scenarios!D82</f>
        <v/>
      </c>
      <c r="F198" s="24">
        <f>Scenarios!E82</f>
        <v/>
      </c>
      <c r="G198" s="24">
        <f>Scenarios!F82</f>
        <v/>
      </c>
      <c r="H198" s="24">
        <f>Scenarios!G82</f>
        <v/>
      </c>
      <c r="I198" s="24">
        <f>Scenarios!H82</f>
        <v/>
      </c>
      <c r="J198" s="24">
        <f>Scenarios!I82</f>
        <v/>
      </c>
      <c r="K198" s="24">
        <f>Scenarios!J82</f>
        <v/>
      </c>
    </row>
    <row r="199">
      <c r="A199" s="5" t="inlineStr">
        <is>
          <t>Starlink ARPU ($ / month)</t>
        </is>
      </c>
      <c r="C199" s="24">
        <f>Scenarios!B83</f>
        <v/>
      </c>
      <c r="D199" s="24">
        <f>Scenarios!C83</f>
        <v/>
      </c>
      <c r="E199" s="24">
        <f>Scenarios!D83</f>
        <v/>
      </c>
      <c r="F199" s="24">
        <f>Scenarios!E83</f>
        <v/>
      </c>
      <c r="G199" s="24">
        <f>Scenarios!F83</f>
        <v/>
      </c>
      <c r="H199" s="24">
        <f>Scenarios!G83</f>
        <v/>
      </c>
      <c r="I199" s="24">
        <f>Scenarios!H83</f>
        <v/>
      </c>
      <c r="J199" s="24">
        <f>Scenarios!I83</f>
        <v/>
      </c>
      <c r="K199" s="24">
        <f>Scenarios!J83</f>
        <v/>
      </c>
    </row>
    <row r="200">
      <c r="A200" s="5" t="inlineStr">
        <is>
          <t>Consumer revenue incl. kits</t>
        </is>
      </c>
      <c r="C200" s="25">
        <f>(C198+Inputs!$C$22)/2*C199*12/1000*(1+Inputs!$C$25)</f>
        <v/>
      </c>
      <c r="D200" s="25">
        <f>(D198+C198)/2*D199*12/1000*(1+Inputs!$C$25)</f>
        <v/>
      </c>
      <c r="E200" s="25">
        <f>(E198+D198)/2*E199*12/1000*(1+Inputs!$C$25)</f>
        <v/>
      </c>
      <c r="F200" s="25">
        <f>(F198+E198)/2*F199*12/1000*(1+Inputs!$C$25)</f>
        <v/>
      </c>
      <c r="G200" s="25">
        <f>(G198+F198)/2*G199*12/1000*(1+Inputs!$C$25)</f>
        <v/>
      </c>
      <c r="H200" s="25">
        <f>(H198+G198)/2*H199*12/1000*(1+Inputs!$C$25)</f>
        <v/>
      </c>
      <c r="I200" s="25">
        <f>(I198+H198)/2*I199*12/1000*(1+Inputs!$C$25)</f>
        <v/>
      </c>
      <c r="J200" s="25">
        <f>(J198+I198)/2*J199*12/1000*(1+Inputs!$C$25)</f>
        <v/>
      </c>
      <c r="K200" s="25">
        <f>(K198+J198)/2*K199*12/1000*(1+Inputs!$C$25)</f>
        <v/>
      </c>
    </row>
    <row r="201">
      <c r="A201" s="5" t="inlineStr">
        <is>
          <t>Enterprise &amp; government</t>
        </is>
      </c>
      <c r="C201" s="26">
        <f>Scenarios!B84</f>
        <v/>
      </c>
      <c r="D201" s="26">
        <f>Scenarios!C84</f>
        <v/>
      </c>
      <c r="E201" s="26">
        <f>Scenarios!D84</f>
        <v/>
      </c>
      <c r="F201" s="26">
        <f>Scenarios!E84</f>
        <v/>
      </c>
      <c r="G201" s="26">
        <f>Scenarios!F84</f>
        <v/>
      </c>
      <c r="H201" s="26">
        <f>Scenarios!G84</f>
        <v/>
      </c>
      <c r="I201" s="26">
        <f>Scenarios!H84</f>
        <v/>
      </c>
      <c r="J201" s="26">
        <f>Scenarios!I84</f>
        <v/>
      </c>
      <c r="K201" s="26">
        <f>Scenarios!J84</f>
        <v/>
      </c>
    </row>
    <row r="202">
      <c r="A202" s="5" t="inlineStr">
        <is>
          <t>Starlink Mobile</t>
        </is>
      </c>
      <c r="C202" s="26">
        <f>Scenarios!B85</f>
        <v/>
      </c>
      <c r="D202" s="26">
        <f>Scenarios!C85</f>
        <v/>
      </c>
      <c r="E202" s="26">
        <f>Scenarios!D85</f>
        <v/>
      </c>
      <c r="F202" s="26">
        <f>Scenarios!E85</f>
        <v/>
      </c>
      <c r="G202" s="26">
        <f>Scenarios!F85</f>
        <v/>
      </c>
      <c r="H202" s="26">
        <f>Scenarios!G85</f>
        <v/>
      </c>
      <c r="I202" s="26">
        <f>Scenarios!H85</f>
        <v/>
      </c>
      <c r="J202" s="26">
        <f>Scenarios!I85</f>
        <v/>
      </c>
      <c r="K202" s="26">
        <f>Scenarios!J85</f>
        <v/>
      </c>
    </row>
    <row r="203">
      <c r="A203" s="9" t="inlineStr">
        <is>
          <t>Connectivity revenue</t>
        </is>
      </c>
      <c r="C203" s="25">
        <f>C200+C201+C202</f>
        <v/>
      </c>
      <c r="D203" s="25">
        <f>D200+D201+D202</f>
        <v/>
      </c>
      <c r="E203" s="25">
        <f>E200+E201+E202</f>
        <v/>
      </c>
      <c r="F203" s="25">
        <f>F200+F201+F202</f>
        <v/>
      </c>
      <c r="G203" s="25">
        <f>G200+G201+G202</f>
        <v/>
      </c>
      <c r="H203" s="25">
        <f>H200+H201+H202</f>
        <v/>
      </c>
      <c r="I203" s="25">
        <f>I200+I201+I202</f>
        <v/>
      </c>
      <c r="J203" s="25">
        <f>J200+J201+J202</f>
        <v/>
      </c>
      <c r="K203" s="25">
        <f>K200+K201+K202</f>
        <v/>
      </c>
    </row>
    <row r="204">
      <c r="A204" s="5" t="inlineStr">
        <is>
          <t>Space revenue</t>
        </is>
      </c>
      <c r="C204" s="26">
        <f>Scenarios!B88</f>
        <v/>
      </c>
      <c r="D204" s="26">
        <f>Scenarios!C88</f>
        <v/>
      </c>
      <c r="E204" s="26">
        <f>Scenarios!D88</f>
        <v/>
      </c>
      <c r="F204" s="26">
        <f>Scenarios!E88</f>
        <v/>
      </c>
      <c r="G204" s="26">
        <f>Scenarios!F88</f>
        <v/>
      </c>
      <c r="H204" s="26">
        <f>Scenarios!G88</f>
        <v/>
      </c>
      <c r="I204" s="26">
        <f>Scenarios!H88</f>
        <v/>
      </c>
      <c r="J204" s="26">
        <f>Scenarios!I88</f>
        <v/>
      </c>
      <c r="K204" s="26">
        <f>Scenarios!J88</f>
        <v/>
      </c>
    </row>
    <row r="205">
      <c r="A205" s="5" t="inlineStr">
        <is>
          <t>AI compute, year end (GW)</t>
        </is>
      </c>
      <c r="C205" s="24">
        <f>Scenarios!B92</f>
        <v/>
      </c>
      <c r="D205" s="24">
        <f>Scenarios!C92</f>
        <v/>
      </c>
      <c r="E205" s="24">
        <f>Scenarios!D92</f>
        <v/>
      </c>
      <c r="F205" s="24">
        <f>Scenarios!E92</f>
        <v/>
      </c>
      <c r="G205" s="24">
        <f>Scenarios!F92</f>
        <v/>
      </c>
      <c r="H205" s="24">
        <f>Scenarios!G92</f>
        <v/>
      </c>
      <c r="I205" s="24">
        <f>Scenarios!H92</f>
        <v/>
      </c>
      <c r="J205" s="24">
        <f>Scenarios!I92</f>
        <v/>
      </c>
      <c r="K205" s="24">
        <f>Scenarios!J92</f>
        <v/>
      </c>
    </row>
    <row r="206">
      <c r="A206" s="5" t="inlineStr">
        <is>
          <t>Share rented</t>
        </is>
      </c>
      <c r="C206" s="6">
        <f>Scenarios!B93</f>
        <v/>
      </c>
      <c r="D206" s="6">
        <f>Scenarios!C93</f>
        <v/>
      </c>
      <c r="E206" s="6">
        <f>Scenarios!D93</f>
        <v/>
      </c>
      <c r="F206" s="6">
        <f>Scenarios!E93</f>
        <v/>
      </c>
      <c r="G206" s="6">
        <f>Scenarios!F93</f>
        <v/>
      </c>
      <c r="H206" s="6">
        <f>Scenarios!G93</f>
        <v/>
      </c>
      <c r="I206" s="6">
        <f>Scenarios!H93</f>
        <v/>
      </c>
      <c r="J206" s="6">
        <f>Scenarios!I93</f>
        <v/>
      </c>
      <c r="K206" s="6">
        <f>Scenarios!J93</f>
        <v/>
      </c>
    </row>
    <row r="207">
      <c r="A207" s="5" t="inlineStr">
        <is>
          <t>Revenue per watt-year ($)</t>
        </is>
      </c>
      <c r="C207" s="24">
        <f>Scenarios!B94</f>
        <v/>
      </c>
      <c r="D207" s="24">
        <f>Scenarios!C94</f>
        <v/>
      </c>
      <c r="E207" s="24">
        <f>Scenarios!D94</f>
        <v/>
      </c>
      <c r="F207" s="24">
        <f>Scenarios!E94</f>
        <v/>
      </c>
      <c r="G207" s="24">
        <f>Scenarios!F94</f>
        <v/>
      </c>
      <c r="H207" s="24">
        <f>Scenarios!G94</f>
        <v/>
      </c>
      <c r="I207" s="24">
        <f>Scenarios!H94</f>
        <v/>
      </c>
      <c r="J207" s="24">
        <f>Scenarios!I94</f>
        <v/>
      </c>
      <c r="K207" s="24">
        <f>Scenarios!J94</f>
        <v/>
      </c>
    </row>
    <row r="208">
      <c r="A208" s="5" t="inlineStr">
        <is>
          <t>Cloud services revenue</t>
        </is>
      </c>
      <c r="C208" s="25">
        <f>(C205+Inputs!$C$23)/2*C206*C207</f>
        <v/>
      </c>
      <c r="D208" s="25">
        <f>(D205+C205)/2*D206*D207</f>
        <v/>
      </c>
      <c r="E208" s="25">
        <f>(E205+D205)/2*E206*E207</f>
        <v/>
      </c>
      <c r="F208" s="25">
        <f>(F205+E205)/2*F206*F207</f>
        <v/>
      </c>
      <c r="G208" s="25">
        <f>(G205+F205)/2*G206*G207</f>
        <v/>
      </c>
      <c r="H208" s="25">
        <f>(H205+G205)/2*H206*H207</f>
        <v/>
      </c>
      <c r="I208" s="25">
        <f>(I205+H205)/2*I206*I207</f>
        <v/>
      </c>
      <c r="J208" s="25">
        <f>(J205+I205)/2*J206*J207</f>
        <v/>
      </c>
      <c r="K208" s="25">
        <f>(K205+J205)/2*K206*K207</f>
        <v/>
      </c>
    </row>
    <row r="209">
      <c r="A209" s="5" t="inlineStr">
        <is>
          <t>Grok / X / Cursor revenue</t>
        </is>
      </c>
      <c r="C209" s="26">
        <f>Scenarios!B97</f>
        <v/>
      </c>
      <c r="D209" s="26">
        <f>Scenarios!C97</f>
        <v/>
      </c>
      <c r="E209" s="26">
        <f>Scenarios!D97</f>
        <v/>
      </c>
      <c r="F209" s="26">
        <f>Scenarios!E97</f>
        <v/>
      </c>
      <c r="G209" s="26">
        <f>Scenarios!F97</f>
        <v/>
      </c>
      <c r="H209" s="26">
        <f>Scenarios!G97</f>
        <v/>
      </c>
      <c r="I209" s="26">
        <f>Scenarios!H97</f>
        <v/>
      </c>
      <c r="J209" s="26">
        <f>Scenarios!I97</f>
        <v/>
      </c>
      <c r="K209" s="26">
        <f>Scenarios!J97</f>
        <v/>
      </c>
    </row>
    <row r="210">
      <c r="A210" s="9" t="inlineStr">
        <is>
          <t>AI revenue</t>
        </is>
      </c>
      <c r="C210" s="25">
        <f>C208+C209</f>
        <v/>
      </c>
      <c r="D210" s="25">
        <f>D208+D209</f>
        <v/>
      </c>
      <c r="E210" s="25">
        <f>E208+E209</f>
        <v/>
      </c>
      <c r="F210" s="25">
        <f>F208+F209</f>
        <v/>
      </c>
      <c r="G210" s="25">
        <f>G208+G209</f>
        <v/>
      </c>
      <c r="H210" s="25">
        <f>H208+H209</f>
        <v/>
      </c>
      <c r="I210" s="25">
        <f>I208+I209</f>
        <v/>
      </c>
      <c r="J210" s="25">
        <f>J208+J209</f>
        <v/>
      </c>
      <c r="K210" s="25">
        <f>K208+K209</f>
        <v/>
      </c>
    </row>
    <row r="211">
      <c r="A211" s="9" t="inlineStr">
        <is>
          <t>Total revenue</t>
        </is>
      </c>
      <c r="C211" s="25">
        <f>C203+C204+C210</f>
        <v/>
      </c>
      <c r="D211" s="25">
        <f>D203+D204+D210</f>
        <v/>
      </c>
      <c r="E211" s="25">
        <f>E203+E204+E210</f>
        <v/>
      </c>
      <c r="F211" s="25">
        <f>F203+F204+F210</f>
        <v/>
      </c>
      <c r="G211" s="25">
        <f>G203+G204+G210</f>
        <v/>
      </c>
      <c r="H211" s="25">
        <f>H203+H204+H210</f>
        <v/>
      </c>
      <c r="I211" s="25">
        <f>I203+I204+I210</f>
        <v/>
      </c>
      <c r="J211" s="25">
        <f>J203+J204+J210</f>
        <v/>
      </c>
      <c r="K211" s="25">
        <f>K203+K204+K210</f>
        <v/>
      </c>
    </row>
    <row r="212">
      <c r="A212" s="5" t="inlineStr">
        <is>
          <t>Connectivity margin</t>
        </is>
      </c>
      <c r="C212" s="6">
        <f>Scenarios!B86</f>
        <v/>
      </c>
      <c r="D212" s="6">
        <f>Scenarios!C86</f>
        <v/>
      </c>
      <c r="E212" s="6">
        <f>Scenarios!D86</f>
        <v/>
      </c>
      <c r="F212" s="6">
        <f>Scenarios!E86</f>
        <v/>
      </c>
      <c r="G212" s="6">
        <f>Scenarios!F86</f>
        <v/>
      </c>
      <c r="H212" s="6">
        <f>Scenarios!G86</f>
        <v/>
      </c>
      <c r="I212" s="6">
        <f>Scenarios!H86</f>
        <v/>
      </c>
      <c r="J212" s="6">
        <f>Scenarios!I86</f>
        <v/>
      </c>
      <c r="K212" s="6">
        <f>Scenarios!J86</f>
        <v/>
      </c>
    </row>
    <row r="213">
      <c r="A213" s="5" t="inlineStr">
        <is>
          <t>Connectivity adj. EBITDA</t>
        </is>
      </c>
      <c r="C213" s="25">
        <f>C203*C212</f>
        <v/>
      </c>
      <c r="D213" s="25">
        <f>D203*D212</f>
        <v/>
      </c>
      <c r="E213" s="25">
        <f>E203*E212</f>
        <v/>
      </c>
      <c r="F213" s="25">
        <f>F203*F212</f>
        <v/>
      </c>
      <c r="G213" s="25">
        <f>G203*G212</f>
        <v/>
      </c>
      <c r="H213" s="25">
        <f>H203*H212</f>
        <v/>
      </c>
      <c r="I213" s="25">
        <f>I203*I212</f>
        <v/>
      </c>
      <c r="J213" s="25">
        <f>J203*J212</f>
        <v/>
      </c>
      <c r="K213" s="25">
        <f>K203*K212</f>
        <v/>
      </c>
    </row>
    <row r="214">
      <c r="A214" s="5" t="inlineStr">
        <is>
          <t>Space margin before Starship R&amp;D</t>
        </is>
      </c>
      <c r="C214" s="6">
        <f>Scenarios!B89</f>
        <v/>
      </c>
      <c r="D214" s="6">
        <f>Scenarios!C89</f>
        <v/>
      </c>
      <c r="E214" s="6">
        <f>Scenarios!D89</f>
        <v/>
      </c>
      <c r="F214" s="6">
        <f>Scenarios!E89</f>
        <v/>
      </c>
      <c r="G214" s="6">
        <f>Scenarios!F89</f>
        <v/>
      </c>
      <c r="H214" s="6">
        <f>Scenarios!G89</f>
        <v/>
      </c>
      <c r="I214" s="6">
        <f>Scenarios!H89</f>
        <v/>
      </c>
      <c r="J214" s="6">
        <f>Scenarios!I89</f>
        <v/>
      </c>
      <c r="K214" s="6">
        <f>Scenarios!J89</f>
        <v/>
      </c>
    </row>
    <row r="215">
      <c r="A215" s="5" t="inlineStr">
        <is>
          <t>Starship R&amp;D</t>
        </is>
      </c>
      <c r="C215" s="26">
        <f>Scenarios!B90</f>
        <v/>
      </c>
      <c r="D215" s="26">
        <f>Scenarios!C90</f>
        <v/>
      </c>
      <c r="E215" s="26">
        <f>Scenarios!D90</f>
        <v/>
      </c>
      <c r="F215" s="26">
        <f>Scenarios!E90</f>
        <v/>
      </c>
      <c r="G215" s="26">
        <f>Scenarios!F90</f>
        <v/>
      </c>
      <c r="H215" s="26">
        <f>Scenarios!G90</f>
        <v/>
      </c>
      <c r="I215" s="26">
        <f>Scenarios!H90</f>
        <v/>
      </c>
      <c r="J215" s="26">
        <f>Scenarios!I90</f>
        <v/>
      </c>
      <c r="K215" s="26">
        <f>Scenarios!J90</f>
        <v/>
      </c>
    </row>
    <row r="216">
      <c r="A216" s="5" t="inlineStr">
        <is>
          <t>Space adj. EBITDA</t>
        </is>
      </c>
      <c r="C216" s="25">
        <f>C204*C214-C215</f>
        <v/>
      </c>
      <c r="D216" s="25">
        <f>D204*D214-D215</f>
        <v/>
      </c>
      <c r="E216" s="25">
        <f>E204*E214-E215</f>
        <v/>
      </c>
      <c r="F216" s="25">
        <f>F204*F214-F215</f>
        <v/>
      </c>
      <c r="G216" s="25">
        <f>G204*G214-G215</f>
        <v/>
      </c>
      <c r="H216" s="25">
        <f>H204*H214-H215</f>
        <v/>
      </c>
      <c r="I216" s="25">
        <f>I204*I214-I215</f>
        <v/>
      </c>
      <c r="J216" s="25">
        <f>J204*J214-J215</f>
        <v/>
      </c>
      <c r="K216" s="25">
        <f>K204*K214-K215</f>
        <v/>
      </c>
    </row>
    <row r="217">
      <c r="A217" s="5" t="inlineStr">
        <is>
          <t>Cloud margin</t>
        </is>
      </c>
      <c r="C217" s="6">
        <f>Scenarios!B95</f>
        <v/>
      </c>
      <c r="D217" s="6">
        <f>Scenarios!C95</f>
        <v/>
      </c>
      <c r="E217" s="6">
        <f>Scenarios!D95</f>
        <v/>
      </c>
      <c r="F217" s="6">
        <f>Scenarios!E95</f>
        <v/>
      </c>
      <c r="G217" s="6">
        <f>Scenarios!F95</f>
        <v/>
      </c>
      <c r="H217" s="6">
        <f>Scenarios!G95</f>
        <v/>
      </c>
      <c r="I217" s="6">
        <f>Scenarios!H95</f>
        <v/>
      </c>
      <c r="J217" s="6">
        <f>Scenarios!I95</f>
        <v/>
      </c>
      <c r="K217" s="6">
        <f>Scenarios!J95</f>
        <v/>
      </c>
    </row>
    <row r="218">
      <c r="A218" s="5" t="inlineStr">
        <is>
          <t>Apps and ads margin</t>
        </is>
      </c>
      <c r="C218" s="6">
        <f>Scenarios!B98</f>
        <v/>
      </c>
      <c r="D218" s="6">
        <f>Scenarios!C98</f>
        <v/>
      </c>
      <c r="E218" s="6">
        <f>Scenarios!D98</f>
        <v/>
      </c>
      <c r="F218" s="6">
        <f>Scenarios!E98</f>
        <v/>
      </c>
      <c r="G218" s="6">
        <f>Scenarios!F98</f>
        <v/>
      </c>
      <c r="H218" s="6">
        <f>Scenarios!G98</f>
        <v/>
      </c>
      <c r="I218" s="6">
        <f>Scenarios!H98</f>
        <v/>
      </c>
      <c r="J218" s="6">
        <f>Scenarios!I98</f>
        <v/>
      </c>
      <c r="K218" s="6">
        <f>Scenarios!J98</f>
        <v/>
      </c>
    </row>
    <row r="219">
      <c r="A219" s="5" t="inlineStr">
        <is>
          <t>Frontier-model R&amp;D</t>
        </is>
      </c>
      <c r="C219" s="26">
        <f>Scenarios!B99</f>
        <v/>
      </c>
      <c r="D219" s="26">
        <f>Scenarios!C99</f>
        <v/>
      </c>
      <c r="E219" s="26">
        <f>Scenarios!D99</f>
        <v/>
      </c>
      <c r="F219" s="26">
        <f>Scenarios!E99</f>
        <v/>
      </c>
      <c r="G219" s="26">
        <f>Scenarios!F99</f>
        <v/>
      </c>
      <c r="H219" s="26">
        <f>Scenarios!G99</f>
        <v/>
      </c>
      <c r="I219" s="26">
        <f>Scenarios!H99</f>
        <v/>
      </c>
      <c r="J219" s="26">
        <f>Scenarios!I99</f>
        <v/>
      </c>
      <c r="K219" s="26">
        <f>Scenarios!J99</f>
        <v/>
      </c>
    </row>
    <row r="220">
      <c r="A220" s="5" t="inlineStr">
        <is>
          <t>AI adj. EBITDA</t>
        </is>
      </c>
      <c r="C220" s="25">
        <f>C208*C217+C209*C218-C219</f>
        <v/>
      </c>
      <c r="D220" s="25">
        <f>D208*D217+D209*D218-D219</f>
        <v/>
      </c>
      <c r="E220" s="25">
        <f>E208*E217+E209*E218-E219</f>
        <v/>
      </c>
      <c r="F220" s="25">
        <f>F208*F217+F209*F218-F219</f>
        <v/>
      </c>
      <c r="G220" s="25">
        <f>G208*G217+G209*G218-G219</f>
        <v/>
      </c>
      <c r="H220" s="25">
        <f>H208*H217+H209*H218-H219</f>
        <v/>
      </c>
      <c r="I220" s="25">
        <f>I208*I217+I209*I218-I219</f>
        <v/>
      </c>
      <c r="J220" s="25">
        <f>J208*J217+J209*J218-J219</f>
        <v/>
      </c>
      <c r="K220" s="25">
        <f>K208*K217+K209*K218-K219</f>
        <v/>
      </c>
    </row>
    <row r="221">
      <c r="A221" s="9" t="inlineStr">
        <is>
          <t>Adjusted EBITDA (before stock comp)</t>
        </is>
      </c>
      <c r="C221" s="25">
        <f>C213+C216+C220</f>
        <v/>
      </c>
      <c r="D221" s="25">
        <f>D213+D216+D220</f>
        <v/>
      </c>
      <c r="E221" s="25">
        <f>E213+E216+E220</f>
        <v/>
      </c>
      <c r="F221" s="25">
        <f>F213+F216+F220</f>
        <v/>
      </c>
      <c r="G221" s="25">
        <f>G213+G216+G220</f>
        <v/>
      </c>
      <c r="H221" s="25">
        <f>H213+H216+H220</f>
        <v/>
      </c>
      <c r="I221" s="25">
        <f>I213+I216+I220</f>
        <v/>
      </c>
      <c r="J221" s="25">
        <f>J213+J216+J220</f>
        <v/>
      </c>
      <c r="K221" s="25">
        <f>K213+K216+K220</f>
        <v/>
      </c>
    </row>
    <row r="222">
      <c r="A222" s="5" t="inlineStr">
        <is>
          <t>Stock comp, % of revenue</t>
        </is>
      </c>
      <c r="C222" s="6">
        <f>Scenarios!B100</f>
        <v/>
      </c>
      <c r="D222" s="6">
        <f>Scenarios!C100</f>
        <v/>
      </c>
      <c r="E222" s="6">
        <f>Scenarios!D100</f>
        <v/>
      </c>
      <c r="F222" s="6">
        <f>Scenarios!E100</f>
        <v/>
      </c>
      <c r="G222" s="6">
        <f>Scenarios!F100</f>
        <v/>
      </c>
      <c r="H222" s="6">
        <f>Scenarios!G100</f>
        <v/>
      </c>
      <c r="I222" s="6">
        <f>Scenarios!H100</f>
        <v/>
      </c>
      <c r="J222" s="6">
        <f>Scenarios!I100</f>
        <v/>
      </c>
      <c r="K222" s="6">
        <f>Scenarios!J100</f>
        <v/>
      </c>
    </row>
    <row r="223">
      <c r="A223" s="5" t="inlineStr">
        <is>
          <t>Stock-based compensation</t>
        </is>
      </c>
      <c r="C223" s="25">
        <f>C211*C222</f>
        <v/>
      </c>
      <c r="D223" s="25">
        <f>D211*D222</f>
        <v/>
      </c>
      <c r="E223" s="25">
        <f>E211*E222</f>
        <v/>
      </c>
      <c r="F223" s="25">
        <f>F211*F222</f>
        <v/>
      </c>
      <c r="G223" s="25">
        <f>G211*G222</f>
        <v/>
      </c>
      <c r="H223" s="25">
        <f>H211*H222</f>
        <v/>
      </c>
      <c r="I223" s="25">
        <f>I211*I222</f>
        <v/>
      </c>
      <c r="J223" s="25">
        <f>J211*J222</f>
        <v/>
      </c>
      <c r="K223" s="25">
        <f>K211*K222</f>
        <v/>
      </c>
    </row>
    <row r="224">
      <c r="A224" s="9" t="inlineStr">
        <is>
          <t>EBITDA after stock comp</t>
        </is>
      </c>
      <c r="C224" s="25">
        <f>C221-C223</f>
        <v/>
      </c>
      <c r="D224" s="25">
        <f>D221-D223</f>
        <v/>
      </c>
      <c r="E224" s="25">
        <f>E221-E223</f>
        <v/>
      </c>
      <c r="F224" s="25">
        <f>F221-F223</f>
        <v/>
      </c>
      <c r="G224" s="25">
        <f>G221-G223</f>
        <v/>
      </c>
      <c r="H224" s="25">
        <f>H221-H223</f>
        <v/>
      </c>
      <c r="I224" s="25">
        <f>I221-I223</f>
        <v/>
      </c>
      <c r="J224" s="25">
        <f>J221-J223</f>
        <v/>
      </c>
      <c r="K224" s="25">
        <f>K221-K223</f>
        <v/>
      </c>
    </row>
    <row r="225">
      <c r="A225" s="5" t="inlineStr">
        <is>
          <t>AI capex per watt ($)</t>
        </is>
      </c>
      <c r="C225" s="24">
        <f>Scenarios!B96</f>
        <v/>
      </c>
      <c r="D225" s="24">
        <f>Scenarios!C96</f>
        <v/>
      </c>
      <c r="E225" s="24">
        <f>Scenarios!D96</f>
        <v/>
      </c>
      <c r="F225" s="24">
        <f>Scenarios!E96</f>
        <v/>
      </c>
      <c r="G225" s="24">
        <f>Scenarios!F96</f>
        <v/>
      </c>
      <c r="H225" s="24">
        <f>Scenarios!G96</f>
        <v/>
      </c>
      <c r="I225" s="24">
        <f>Scenarios!H96</f>
        <v/>
      </c>
      <c r="J225" s="24">
        <f>Scenarios!I96</f>
        <v/>
      </c>
      <c r="K225" s="24">
        <f>Scenarios!J96</f>
        <v/>
      </c>
    </row>
    <row r="226">
      <c r="A226" s="5" t="inlineStr">
        <is>
          <t>AI depreciation</t>
        </is>
      </c>
      <c r="C226" s="25">
        <f>(C205+Inputs!$C$23)/2*C225/Inputs!$C$27</f>
        <v/>
      </c>
      <c r="D226" s="25">
        <f>(D205+C205)/2*D225/Inputs!$C$27</f>
        <v/>
      </c>
      <c r="E226" s="25">
        <f>(E205+D205)/2*E225/Inputs!$C$27</f>
        <v/>
      </c>
      <c r="F226" s="25">
        <f>(F205+E205)/2*F225/Inputs!$C$27</f>
        <v/>
      </c>
      <c r="G226" s="25">
        <f>(G205+F205)/2*G225/Inputs!$C$27</f>
        <v/>
      </c>
      <c r="H226" s="25">
        <f>(H205+G205)/2*H225/Inputs!$C$27</f>
        <v/>
      </c>
      <c r="I226" s="25">
        <f>(I205+H205)/2*I225/Inputs!$C$27</f>
        <v/>
      </c>
      <c r="J226" s="25">
        <f>(J205+I205)/2*J225/Inputs!$C$27</f>
        <v/>
      </c>
      <c r="K226" s="25">
        <f>(K205+J205)/2*K225/Inputs!$C$27</f>
        <v/>
      </c>
    </row>
    <row r="227">
      <c r="A227" s="5" t="inlineStr">
        <is>
          <t>Depreciation &amp; amortization</t>
        </is>
      </c>
      <c r="C227" s="25">
        <f>(C203+C204)*Inputs!$C$26+C226</f>
        <v/>
      </c>
      <c r="D227" s="25">
        <f>(D203+D204)*Inputs!$C$26+D226</f>
        <v/>
      </c>
      <c r="E227" s="25">
        <f>(E203+E204)*Inputs!$C$26+E226</f>
        <v/>
      </c>
      <c r="F227" s="25">
        <f>(F203+F204)*Inputs!$C$26+F226</f>
        <v/>
      </c>
      <c r="G227" s="25">
        <f>(G203+G204)*Inputs!$C$26+G226</f>
        <v/>
      </c>
      <c r="H227" s="25">
        <f>(H203+H204)*Inputs!$C$26+H226</f>
        <v/>
      </c>
      <c r="I227" s="25">
        <f>(I203+I204)*Inputs!$C$26+I226</f>
        <v/>
      </c>
      <c r="J227" s="25">
        <f>(J203+J204)*Inputs!$C$26+J226</f>
        <v/>
      </c>
      <c r="K227" s="25">
        <f>(K203+K204)*Inputs!$C$26+K226</f>
        <v/>
      </c>
    </row>
    <row r="228">
      <c r="A228" s="9" t="inlineStr">
        <is>
          <t>EBIT</t>
        </is>
      </c>
      <c r="C228" s="25">
        <f>C224-C227</f>
        <v/>
      </c>
      <c r="D228" s="25">
        <f>D224-D227</f>
        <v/>
      </c>
      <c r="E228" s="25">
        <f>E224-E227</f>
        <v/>
      </c>
      <c r="F228" s="25">
        <f>F224-F227</f>
        <v/>
      </c>
      <c r="G228" s="25">
        <f>G224-G227</f>
        <v/>
      </c>
      <c r="H228" s="25">
        <f>H224-H227</f>
        <v/>
      </c>
      <c r="I228" s="25">
        <f>I224-I227</f>
        <v/>
      </c>
      <c r="J228" s="25">
        <f>J224-J227</f>
        <v/>
      </c>
      <c r="K228" s="25">
        <f>K224-K227</f>
        <v/>
      </c>
    </row>
    <row r="229">
      <c r="A229" s="5" t="inlineStr">
        <is>
          <t>EBIT margin</t>
        </is>
      </c>
      <c r="C229" s="8">
        <f>IF(C211=0,0,C228/C211)</f>
        <v/>
      </c>
      <c r="D229" s="8">
        <f>IF(D211=0,0,D228/D211)</f>
        <v/>
      </c>
      <c r="E229" s="8">
        <f>IF(E211=0,0,E228/E211)</f>
        <v/>
      </c>
      <c r="F229" s="8">
        <f>IF(F211=0,0,F228/F211)</f>
        <v/>
      </c>
      <c r="G229" s="8">
        <f>IF(G211=0,0,G228/G211)</f>
        <v/>
      </c>
      <c r="H229" s="8">
        <f>IF(H211=0,0,H228/H211)</f>
        <v/>
      </c>
      <c r="I229" s="8">
        <f>IF(I211=0,0,I228/I211)</f>
        <v/>
      </c>
      <c r="J229" s="8">
        <f>IF(J211=0,0,J228/J211)</f>
        <v/>
      </c>
      <c r="K229" s="8">
        <f>IF(K211=0,0,K228/K211)</f>
        <v/>
      </c>
    </row>
    <row r="230">
      <c r="A230" s="5" t="inlineStr">
        <is>
          <t>AI capex</t>
        </is>
      </c>
      <c r="C230" s="25">
        <f>MAX(0,C205-Inputs!$C$23*(1-1/Inputs!$C$27))*C225</f>
        <v/>
      </c>
      <c r="D230" s="25">
        <f>MAX(0,D205-C205*(1-1/Inputs!$C$27))*D225</f>
        <v/>
      </c>
      <c r="E230" s="25">
        <f>MAX(0,E205-D205*(1-1/Inputs!$C$27))*E225</f>
        <v/>
      </c>
      <c r="F230" s="25">
        <f>MAX(0,F205-E205*(1-1/Inputs!$C$27))*F225</f>
        <v/>
      </c>
      <c r="G230" s="25">
        <f>MAX(0,G205-F205*(1-1/Inputs!$C$27))*G225</f>
        <v/>
      </c>
      <c r="H230" s="25">
        <f>MAX(0,H205-G205*(1-1/Inputs!$C$27))*H225</f>
        <v/>
      </c>
      <c r="I230" s="25">
        <f>MAX(0,I205-H205*(1-1/Inputs!$C$27))*I225</f>
        <v/>
      </c>
      <c r="J230" s="25">
        <f>MAX(0,J205-I205*(1-1/Inputs!$C$27))*J225</f>
        <v/>
      </c>
      <c r="K230" s="25">
        <f>MAX(0,K205-J205*(1-1/Inputs!$C$27))*K225</f>
        <v/>
      </c>
    </row>
    <row r="231">
      <c r="A231" s="5" t="inlineStr">
        <is>
          <t>Connectivity capex, % of revenue</t>
        </is>
      </c>
      <c r="C231" s="6">
        <f>Scenarios!B87</f>
        <v/>
      </c>
      <c r="D231" s="6">
        <f>Scenarios!C87</f>
        <v/>
      </c>
      <c r="E231" s="6">
        <f>Scenarios!D87</f>
        <v/>
      </c>
      <c r="F231" s="6">
        <f>Scenarios!E87</f>
        <v/>
      </c>
      <c r="G231" s="6">
        <f>Scenarios!F87</f>
        <v/>
      </c>
      <c r="H231" s="6">
        <f>Scenarios!G87</f>
        <v/>
      </c>
      <c r="I231" s="6">
        <f>Scenarios!H87</f>
        <v/>
      </c>
      <c r="J231" s="6">
        <f>Scenarios!I87</f>
        <v/>
      </c>
      <c r="K231" s="6">
        <f>Scenarios!J87</f>
        <v/>
      </c>
    </row>
    <row r="232">
      <c r="A232" s="5" t="inlineStr">
        <is>
          <t>Connectivity capex</t>
        </is>
      </c>
      <c r="C232" s="25">
        <f>C203*C231</f>
        <v/>
      </c>
      <c r="D232" s="25">
        <f>D203*D231</f>
        <v/>
      </c>
      <c r="E232" s="25">
        <f>E203*E231</f>
        <v/>
      </c>
      <c r="F232" s="25">
        <f>F203*F231</f>
        <v/>
      </c>
      <c r="G232" s="25">
        <f>G203*G231</f>
        <v/>
      </c>
      <c r="H232" s="25">
        <f>H203*H231</f>
        <v/>
      </c>
      <c r="I232" s="25">
        <f>I203*I231</f>
        <v/>
      </c>
      <c r="J232" s="25">
        <f>J203*J231</f>
        <v/>
      </c>
      <c r="K232" s="25">
        <f>K203*K231</f>
        <v/>
      </c>
    </row>
    <row r="233">
      <c r="A233" s="5" t="inlineStr">
        <is>
          <t>Space capex</t>
        </is>
      </c>
      <c r="C233" s="26">
        <f>Scenarios!B91</f>
        <v/>
      </c>
      <c r="D233" s="26">
        <f>Scenarios!C91</f>
        <v/>
      </c>
      <c r="E233" s="26">
        <f>Scenarios!D91</f>
        <v/>
      </c>
      <c r="F233" s="26">
        <f>Scenarios!E91</f>
        <v/>
      </c>
      <c r="G233" s="26">
        <f>Scenarios!F91</f>
        <v/>
      </c>
      <c r="H233" s="26">
        <f>Scenarios!G91</f>
        <v/>
      </c>
      <c r="I233" s="26">
        <f>Scenarios!H91</f>
        <v/>
      </c>
      <c r="J233" s="26">
        <f>Scenarios!I91</f>
        <v/>
      </c>
      <c r="K233" s="26">
        <f>Scenarios!J91</f>
        <v/>
      </c>
    </row>
    <row r="234">
      <c r="A234" s="9" t="inlineStr">
        <is>
          <t>Capital expenditures</t>
        </is>
      </c>
      <c r="C234" s="25">
        <f>C230+C232+C233</f>
        <v/>
      </c>
      <c r="D234" s="25">
        <f>D230+D232+D233</f>
        <v/>
      </c>
      <c r="E234" s="25">
        <f>E230+E232+E233</f>
        <v/>
      </c>
      <c r="F234" s="25">
        <f>F230+F232+F233</f>
        <v/>
      </c>
      <c r="G234" s="25">
        <f>G230+G232+G233</f>
        <v/>
      </c>
      <c r="H234" s="25">
        <f>H230+H232+H233</f>
        <v/>
      </c>
      <c r="I234" s="25">
        <f>I230+I232+I233</f>
        <v/>
      </c>
      <c r="J234" s="25">
        <f>J230+J232+J233</f>
        <v/>
      </c>
      <c r="K234" s="25">
        <f>K230+K232+K233</f>
        <v/>
      </c>
    </row>
    <row r="235">
      <c r="A235" s="5" t="inlineStr">
        <is>
          <t>Net operating losses, start</t>
        </is>
      </c>
      <c r="C235" s="25">
        <f>Inputs!$C$28</f>
        <v/>
      </c>
      <c r="D235" s="25">
        <f>C238</f>
        <v/>
      </c>
      <c r="E235" s="25">
        <f>D238</f>
        <v/>
      </c>
      <c r="F235" s="25">
        <f>E238</f>
        <v/>
      </c>
      <c r="G235" s="25">
        <f>F238</f>
        <v/>
      </c>
      <c r="H235" s="25">
        <f>G238</f>
        <v/>
      </c>
      <c r="I235" s="25">
        <f>H238</f>
        <v/>
      </c>
      <c r="J235" s="25">
        <f>I238</f>
        <v/>
      </c>
      <c r="K235" s="25">
        <f>J238</f>
        <v/>
      </c>
    </row>
    <row r="236">
      <c r="A236" s="5" t="inlineStr">
        <is>
          <t>Losses used</t>
        </is>
      </c>
      <c r="C236" s="25">
        <f>MIN(C235,MAX(0,C228))</f>
        <v/>
      </c>
      <c r="D236" s="25">
        <f>MIN(D235,MAX(0,D228))</f>
        <v/>
      </c>
      <c r="E236" s="25">
        <f>MIN(E235,MAX(0,E228))</f>
        <v/>
      </c>
      <c r="F236" s="25">
        <f>MIN(F235,MAX(0,F228))</f>
        <v/>
      </c>
      <c r="G236" s="25">
        <f>MIN(G235,MAX(0,G228))</f>
        <v/>
      </c>
      <c r="H236" s="25">
        <f>MIN(H235,MAX(0,H228))</f>
        <v/>
      </c>
      <c r="I236" s="25">
        <f>MIN(I235,MAX(0,I228))</f>
        <v/>
      </c>
      <c r="J236" s="25">
        <f>MIN(J235,MAX(0,J228))</f>
        <v/>
      </c>
      <c r="K236" s="25">
        <f>MIN(K235,MAX(0,K228))</f>
        <v/>
      </c>
    </row>
    <row r="237">
      <c r="A237" s="5" t="inlineStr">
        <is>
          <t>Cash taxes</t>
        </is>
      </c>
      <c r="C237" s="25">
        <f>Inputs!$C$29*MAX(0,C228-C236)</f>
        <v/>
      </c>
      <c r="D237" s="25">
        <f>Inputs!$C$29*MAX(0,D228-D236)</f>
        <v/>
      </c>
      <c r="E237" s="25">
        <f>Inputs!$C$29*MAX(0,E228-E236)</f>
        <v/>
      </c>
      <c r="F237" s="25">
        <f>Inputs!$C$29*MAX(0,F228-F236)</f>
        <v/>
      </c>
      <c r="G237" s="25">
        <f>Inputs!$C$29*MAX(0,G228-G236)</f>
        <v/>
      </c>
      <c r="H237" s="25">
        <f>Inputs!$C$29*MAX(0,H228-H236)</f>
        <v/>
      </c>
      <c r="I237" s="25">
        <f>Inputs!$C$29*MAX(0,I228-I236)</f>
        <v/>
      </c>
      <c r="J237" s="25">
        <f>Inputs!$C$29*MAX(0,J228-J236)</f>
        <v/>
      </c>
      <c r="K237" s="25">
        <f>Inputs!$C$29*MAX(0,K228-K236)</f>
        <v/>
      </c>
    </row>
    <row r="238">
      <c r="A238" s="5" t="inlineStr">
        <is>
          <t>Net operating losses, end</t>
        </is>
      </c>
      <c r="C238" s="25">
        <f>C235-C236+MAX(0,-C228)</f>
        <v/>
      </c>
      <c r="D238" s="25">
        <f>D235-D236+MAX(0,-D228)</f>
        <v/>
      </c>
      <c r="E238" s="25">
        <f>E235-E236+MAX(0,-E228)</f>
        <v/>
      </c>
      <c r="F238" s="25">
        <f>F235-F236+MAX(0,-F228)</f>
        <v/>
      </c>
      <c r="G238" s="25">
        <f>G235-G236+MAX(0,-G228)</f>
        <v/>
      </c>
      <c r="H238" s="25">
        <f>H235-H236+MAX(0,-H228)</f>
        <v/>
      </c>
      <c r="I238" s="25">
        <f>I235-I236+MAX(0,-I228)</f>
        <v/>
      </c>
      <c r="J238" s="25">
        <f>J235-J236+MAX(0,-J228)</f>
        <v/>
      </c>
      <c r="K238" s="25">
        <f>K235-K236+MAX(0,-K228)</f>
        <v/>
      </c>
    </row>
    <row r="239">
      <c r="A239" s="5" t="inlineStr">
        <is>
          <t>Spectrum payments</t>
        </is>
      </c>
      <c r="C239" s="26">
        <f>Scenarios!B101</f>
        <v/>
      </c>
      <c r="D239" s="26">
        <f>Scenarios!C101</f>
        <v/>
      </c>
      <c r="E239" s="26">
        <f>Scenarios!D101</f>
        <v/>
      </c>
      <c r="F239" s="26">
        <f>Scenarios!E101</f>
        <v/>
      </c>
      <c r="G239" s="26">
        <f>Scenarios!F101</f>
        <v/>
      </c>
      <c r="H239" s="26">
        <f>Scenarios!G101</f>
        <v/>
      </c>
      <c r="I239" s="26">
        <f>Scenarios!H101</f>
        <v/>
      </c>
      <c r="J239" s="26">
        <f>Scenarios!I101</f>
        <v/>
      </c>
      <c r="K239" s="26">
        <f>Scenarios!J101</f>
        <v/>
      </c>
    </row>
    <row r="240">
      <c r="A240" s="9" t="inlineStr">
        <is>
          <t>Unlevered free cash flow</t>
        </is>
      </c>
      <c r="C240" s="25">
        <f>C224-C237-C234-C239</f>
        <v/>
      </c>
      <c r="D240" s="25">
        <f>D224-D237-D234-D239</f>
        <v/>
      </c>
      <c r="E240" s="25">
        <f>E224-E237-E234-E239</f>
        <v/>
      </c>
      <c r="F240" s="25">
        <f>F224-F237-F234-F239</f>
        <v/>
      </c>
      <c r="G240" s="25">
        <f>G224-G237-G234-G239</f>
        <v/>
      </c>
      <c r="H240" s="25">
        <f>H224-H237-H234-H239</f>
        <v/>
      </c>
      <c r="I240" s="25">
        <f>I224-I237-I234-I239</f>
        <v/>
      </c>
      <c r="J240" s="25">
        <f>J224-J237-J234-J239</f>
        <v/>
      </c>
      <c r="K240" s="25">
        <f>K224-K237-K234-K239</f>
        <v/>
      </c>
    </row>
    <row r="241">
      <c r="A241" s="5" t="inlineStr">
        <is>
          <t>Discount period (years)</t>
        </is>
      </c>
      <c r="C241" s="27">
        <f>2027+0.5-Inputs!$C$21</f>
        <v/>
      </c>
      <c r="D241" s="27">
        <f>2028+0.5-Inputs!$C$21</f>
        <v/>
      </c>
      <c r="E241" s="27">
        <f>2029+0.5-Inputs!$C$21</f>
        <v/>
      </c>
      <c r="F241" s="27">
        <f>2030+0.5-Inputs!$C$21</f>
        <v/>
      </c>
      <c r="G241" s="27">
        <f>2031+0.5-Inputs!$C$21</f>
        <v/>
      </c>
      <c r="H241" s="27">
        <f>2032+0.5-Inputs!$C$21</f>
        <v/>
      </c>
      <c r="I241" s="27">
        <f>2033+0.5-Inputs!$C$21</f>
        <v/>
      </c>
      <c r="J241" s="27">
        <f>2034+0.5-Inputs!$C$21</f>
        <v/>
      </c>
      <c r="K241" s="27">
        <f>2035+0.5-Inputs!$C$21</f>
        <v/>
      </c>
    </row>
    <row r="242">
      <c r="A242" s="5" t="inlineStr">
        <is>
          <t>Discount factor</t>
        </is>
      </c>
      <c r="C242" s="28">
        <f>1/(1+Inputs!$C$38)^C241</f>
        <v/>
      </c>
      <c r="D242" s="28">
        <f>1/(1+Inputs!$C$38)^D241</f>
        <v/>
      </c>
      <c r="E242" s="28">
        <f>1/(1+Inputs!$C$38)^E241</f>
        <v/>
      </c>
      <c r="F242" s="28">
        <f>1/(1+Inputs!$C$38)^F241</f>
        <v/>
      </c>
      <c r="G242" s="28">
        <f>1/(1+Inputs!$C$38)^G241</f>
        <v/>
      </c>
      <c r="H242" s="28">
        <f>1/(1+Inputs!$C$38)^H241</f>
        <v/>
      </c>
      <c r="I242" s="28">
        <f>1/(1+Inputs!$C$38)^I241</f>
        <v/>
      </c>
      <c r="J242" s="28">
        <f>1/(1+Inputs!$C$38)^J241</f>
        <v/>
      </c>
      <c r="K242" s="28">
        <f>1/(1+Inputs!$C$38)^K241</f>
        <v/>
      </c>
    </row>
    <row r="243">
      <c r="A243" s="9" t="inlineStr">
        <is>
          <t>PV of unlevered FCF</t>
        </is>
      </c>
      <c r="C243" s="25">
        <f>C240*C242</f>
        <v/>
      </c>
      <c r="D243" s="25">
        <f>D240*D242</f>
        <v/>
      </c>
      <c r="E243" s="25">
        <f>E240*E242</f>
        <v/>
      </c>
      <c r="F243" s="25">
        <f>F240*F242</f>
        <v/>
      </c>
      <c r="G243" s="25">
        <f>G240*G242</f>
        <v/>
      </c>
      <c r="H243" s="25">
        <f>H240*H242</f>
        <v/>
      </c>
      <c r="I243" s="25">
        <f>I240*I242</f>
        <v/>
      </c>
      <c r="J243" s="25">
        <f>J240*J242</f>
        <v/>
      </c>
      <c r="K243" s="25">
        <f>K240*K242</f>
        <v/>
      </c>
    </row>
    <row r="245">
      <c r="A245" s="5" t="inlineStr">
        <is>
          <t>Normalized terminal FCF (2035)</t>
        </is>
      </c>
      <c r="C245" s="25">
        <f>K228*(1-Inputs!$C$42)+K227*(1-Inputs!$C$43)-Inputs!$C$44*K211*Inputs!$C$41</f>
        <v/>
      </c>
    </row>
    <row r="246">
      <c r="A246" s="5" t="inlineStr">
        <is>
          <t>Terminal value, exit multiple</t>
        </is>
      </c>
      <c r="C246" s="25">
        <f>K224*Inputs!$C$40</f>
        <v/>
      </c>
    </row>
    <row r="247">
      <c r="A247" s="5" t="inlineStr">
        <is>
          <t>Terminal value, perpetual growth (cross-check)</t>
        </is>
      </c>
      <c r="C247" s="25">
        <f>$C$245*(1+Inputs!$C$41)/(Inputs!$C$38-Inputs!$C$41)</f>
        <v/>
      </c>
    </row>
    <row r="248">
      <c r="A248" s="5" t="inlineStr">
        <is>
          <t>PV of 2027-2035 FCF + H2 2026 stub</t>
        </is>
      </c>
      <c r="C248" s="25">
        <f>SUM(C243:K243)+Inputs!$C$20</f>
        <v/>
      </c>
    </row>
    <row r="249">
      <c r="A249" s="5" t="inlineStr">
        <is>
          <t>PV of terminal value (exit multiple, end-2035 value)</t>
        </is>
      </c>
      <c r="C249" s="25">
        <f>$C$246/(1+Inputs!$C$38)^(K241+0.5)</f>
        <v/>
      </c>
    </row>
    <row r="250">
      <c r="A250" s="29" t="inlineStr">
        <is>
          <t>Enterprise value</t>
        </is>
      </c>
      <c r="C250" s="30">
        <f>$C$248+$C$249</f>
        <v/>
      </c>
    </row>
    <row r="251">
      <c r="A251" s="5" t="inlineStr">
        <is>
          <t>Equity value</t>
        </is>
      </c>
      <c r="C251" s="25">
        <f>$C$250+Inputs!$C$17</f>
        <v/>
      </c>
    </row>
    <row r="252">
      <c r="A252" s="5" t="inlineStr">
        <is>
          <t>DCF value per share ($)</t>
        </is>
      </c>
      <c r="C252" s="11">
        <f>MAX(0,$C$251*1000/Inputs!$C$12)</f>
        <v/>
      </c>
    </row>
    <row r="253">
      <c r="A253" s="5" t="inlineStr">
        <is>
          <t>Strategic floor per share ($)</t>
        </is>
      </c>
      <c r="C253" s="18" t="n">
        <v>0</v>
      </c>
    </row>
    <row r="254">
      <c r="A254" s="29" t="inlineStr">
        <is>
          <t>Value per share ($)</t>
        </is>
      </c>
      <c r="C254" s="31">
        <f>MAX($C$252,$C$253)</f>
        <v/>
      </c>
    </row>
    <row r="255">
      <c r="A255" s="5" t="inlineStr">
        <is>
          <t>Cross-check: value per share at perpetual growth ($)</t>
        </is>
      </c>
      <c r="C255" s="11">
        <f>MAX(0,($C$248+$C$247*K242+Inputs!$C$17)*1000/Inputs!$C$12)</f>
        <v/>
      </c>
    </row>
    <row r="256">
      <c r="A256" s="5" t="inlineStr">
        <is>
          <t>Perpetual growth implied by the exit multiple</t>
        </is>
      </c>
      <c r="C256" s="8">
        <f>($C$246*Inputs!$C$38-$C$245)/($C$246+$C$245)</f>
        <v/>
      </c>
    </row>
    <row r="257">
      <c r="A257" s="5" t="inlineStr">
        <is>
          <t>Value per share excl. Musk unvested shares ($)</t>
        </is>
      </c>
      <c r="C257" s="11">
        <f>MAX(0,$C$251*1000/Inputs!$C$13)</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2"/>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s>
  <sheetData>
    <row r="1">
      <c r="A1" s="1" t="inlineStr">
        <is>
          <t>Beta from segment peers (two-year betas vs IVV, daily / weekly, site price feed, 2026-10-16)</t>
        </is>
      </c>
    </row>
    <row r="2">
      <c r="A2" s="2" t="inlineStr">
        <is>
          <t>SPCX itself has 88 sessions since 2026-06-12: 1.6 vs QQQ and 3.2 vs SPY, too unstable to use.</t>
        </is>
      </c>
    </row>
    <row r="4">
      <c r="A4" s="3" t="inlineStr">
        <is>
          <t>Segment / peer</t>
        </is>
      </c>
      <c r="B4" s="4" t="inlineStr">
        <is>
          <t>Daily beta</t>
        </is>
      </c>
      <c r="C4" s="4" t="inlineStr">
        <is>
          <t>Weekly beta</t>
        </is>
      </c>
      <c r="D4" s="4" t="inlineStr">
        <is>
          <t>Segment beta used</t>
        </is>
      </c>
      <c r="E4" s="4" t="inlineStr">
        <is>
          <t>Value weight</t>
        </is>
      </c>
    </row>
    <row r="5">
      <c r="A5" s="9" t="inlineStr">
        <is>
          <t>Ai</t>
        </is>
      </c>
      <c r="D5" s="37" t="n">
        <v>1.9</v>
      </c>
      <c r="E5" s="14" t="n">
        <v>0.55</v>
      </c>
    </row>
    <row r="6">
      <c r="A6" s="5" t="inlineStr">
        <is>
          <t xml:space="preserve">   NVDA</t>
        </is>
      </c>
      <c r="B6" s="37" t="n">
        <v>1.9</v>
      </c>
      <c r="C6" s="37" t="n">
        <v>1.92</v>
      </c>
    </row>
    <row r="7">
      <c r="A7" s="5" t="inlineStr">
        <is>
          <t xml:space="preserve">   ORCL</t>
        </is>
      </c>
      <c r="B7" s="37" t="n">
        <v>1.72</v>
      </c>
      <c r="C7" s="37" t="n">
        <v>1.98</v>
      </c>
    </row>
    <row r="8">
      <c r="A8" s="5" t="inlineStr">
        <is>
          <t xml:space="preserve">   CRWV</t>
        </is>
      </c>
      <c r="B8" s="37" t="n">
        <v>2.71</v>
      </c>
      <c r="C8" s="37" t="n">
        <v>1.94</v>
      </c>
    </row>
    <row r="9">
      <c r="A9" s="5" t="inlineStr">
        <is>
          <t xml:space="preserve">   NBIS</t>
        </is>
      </c>
      <c r="B9" s="37" t="n">
        <v>2.96</v>
      </c>
      <c r="C9" s="37" t="n">
        <v>2.72</v>
      </c>
    </row>
    <row r="10">
      <c r="A10" s="9" t="inlineStr">
        <is>
          <t>Connectivity</t>
        </is>
      </c>
      <c r="D10" s="37" t="n">
        <v>1.2</v>
      </c>
      <c r="E10" s="14" t="n">
        <v>0.4</v>
      </c>
    </row>
    <row r="11">
      <c r="A11" s="5" t="inlineStr">
        <is>
          <t xml:space="preserve">   IRDM</t>
        </is>
      </c>
      <c r="B11" s="37" t="n">
        <v>1.05</v>
      </c>
      <c r="C11" s="37" t="n">
        <v>1.36</v>
      </c>
    </row>
    <row r="12">
      <c r="A12" s="5" t="inlineStr">
        <is>
          <t xml:space="preserve">   GOOGL</t>
        </is>
      </c>
      <c r="B12" s="37" t="n">
        <v>1.15</v>
      </c>
      <c r="C12" s="37" t="n">
        <v>1.26</v>
      </c>
    </row>
    <row r="13">
      <c r="A13" s="5" t="inlineStr">
        <is>
          <t xml:space="preserve">   AMZN</t>
        </is>
      </c>
      <c r="B13" s="37" t="n">
        <v>1.4</v>
      </c>
      <c r="C13" s="37" t="n">
        <v>1.65</v>
      </c>
    </row>
    <row r="14">
      <c r="A14" s="5" t="inlineStr">
        <is>
          <t xml:space="preserve">   VSAT</t>
        </is>
      </c>
      <c r="B14" s="37" t="n">
        <v>2.2</v>
      </c>
      <c r="C14" s="37" t="n">
        <v>2.97</v>
      </c>
    </row>
    <row r="15">
      <c r="A15" s="5" t="inlineStr">
        <is>
          <t xml:space="preserve">   TMUS</t>
        </is>
      </c>
      <c r="B15" s="37" t="n">
        <v>0.09</v>
      </c>
      <c r="C15" s="37" t="n">
        <v>0.11</v>
      </c>
    </row>
    <row r="16">
      <c r="A16" s="9" t="inlineStr">
        <is>
          <t>Space</t>
        </is>
      </c>
      <c r="D16" s="37" t="n">
        <v>2</v>
      </c>
      <c r="E16" s="14" t="n">
        <v>0.05</v>
      </c>
    </row>
    <row r="17">
      <c r="A17" s="5" t="inlineStr">
        <is>
          <t xml:space="preserve">   RKLB</t>
        </is>
      </c>
      <c r="B17" s="37" t="n">
        <v>2.75</v>
      </c>
      <c r="C17" s="37" t="n">
        <v>3.13</v>
      </c>
    </row>
    <row r="18">
      <c r="A18" s="5" t="inlineStr">
        <is>
          <t xml:space="preserve">   TSLA</t>
        </is>
      </c>
      <c r="B18" s="37" t="n">
        <v>2.33</v>
      </c>
      <c r="C18" s="37" t="n">
        <v>1.91</v>
      </c>
    </row>
    <row r="19">
      <c r="A19" s="5" t="inlineStr">
        <is>
          <t xml:space="preserve">   ASTS</t>
        </is>
      </c>
      <c r="B19" s="37" t="n">
        <v>2.6</v>
      </c>
      <c r="C19" s="37" t="n">
        <v>2.56</v>
      </c>
    </row>
    <row r="21">
      <c r="A21" s="9" t="inlineStr">
        <is>
          <t>Blended beta</t>
        </is>
      </c>
      <c r="D21" s="28">
        <f>D5*E5+D10*E10+D16*E16</f>
        <v/>
      </c>
    </row>
    <row r="22">
      <c r="A22" s="5" t="inlineStr">
        <is>
          <t>Beta used on Inputs (rounded)</t>
        </is>
      </c>
      <c r="D22" s="42">
        <f>Inputs!$C$32</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1"/>
  <sheetViews>
    <sheetView showGridLines="0" workbookViewId="0">
      <selection activeCell="A1" sqref="A1"/>
    </sheetView>
  </sheetViews>
  <sheetFormatPr baseColWidth="8" defaultRowHeight="15"/>
  <cols>
    <col width="34" customWidth="1" min="1" max="1"/>
    <col width="11" customWidth="1" min="2" max="2"/>
    <col width="11" customWidth="1" min="3" max="3"/>
    <col width="11" customWidth="1" min="4" max="4"/>
    <col width="11" customWidth="1" min="5" max="5"/>
    <col width="11" customWidth="1" min="6" max="6"/>
    <col width="11" customWidth="1" min="7" max="7"/>
  </cols>
  <sheetData>
    <row r="1">
      <c r="A1" s="1" t="inlineStr">
        <is>
          <t>Reported results ($bn; subscribers in mm; ARPU $/month; compute in GW)</t>
        </is>
      </c>
    </row>
    <row r="3">
      <c r="A3" s="3" t="inlineStr">
        <is>
          <t>Line item</t>
        </is>
      </c>
      <c r="B3" s="4" t="inlineStr">
        <is>
          <t>FY2023</t>
        </is>
      </c>
      <c r="C3" s="4" t="inlineStr">
        <is>
          <t>FY2024</t>
        </is>
      </c>
      <c r="D3" s="4" t="inlineStr">
        <is>
          <t>FY2025</t>
        </is>
      </c>
      <c r="E3" s="4" t="inlineStr">
        <is>
          <t>Q2 2025</t>
        </is>
      </c>
      <c r="F3" s="4" t="inlineStr">
        <is>
          <t>Q1 2026</t>
        </is>
      </c>
      <c r="G3" s="4" t="inlineStr">
        <is>
          <t>Q2 2026</t>
        </is>
      </c>
    </row>
    <row r="4">
      <c r="A4" s="5" t="inlineStr">
        <is>
          <t>Space revenue</t>
        </is>
      </c>
      <c r="B4" s="35" t="n">
        <v>3.557</v>
      </c>
      <c r="C4" s="35" t="n">
        <v>3.796</v>
      </c>
      <c r="D4" s="35" t="n">
        <v>4.086</v>
      </c>
      <c r="E4" s="35" t="n">
        <v>0.746</v>
      </c>
      <c r="F4" s="35" t="n">
        <v>0.619</v>
      </c>
      <c r="G4" s="35" t="n">
        <v>0.962</v>
      </c>
    </row>
    <row r="5">
      <c r="A5" s="5" t="inlineStr">
        <is>
          <t>Connectivity revenue</t>
        </is>
      </c>
      <c r="B5" s="35" t="n">
        <v>3.869</v>
      </c>
      <c r="C5" s="35" t="n">
        <v>7.599</v>
      </c>
      <c r="D5" s="35" t="n">
        <v>11.387</v>
      </c>
      <c r="E5" s="35" t="n">
        <v>2.588</v>
      </c>
      <c r="F5" s="35" t="n">
        <v>3.257</v>
      </c>
      <c r="G5" s="35" t="n">
        <v>4.291</v>
      </c>
    </row>
    <row r="6">
      <c r="A6" s="5" t="inlineStr">
        <is>
          <t>AI revenue</t>
        </is>
      </c>
      <c r="B6" s="35" t="n">
        <v>2.961</v>
      </c>
      <c r="C6" s="35" t="n">
        <v>2.62</v>
      </c>
      <c r="D6" s="35" t="n">
        <v>3.201</v>
      </c>
      <c r="E6" s="35" t="n">
        <v>0.737</v>
      </c>
      <c r="F6" s="35" t="n">
        <v>0.8179999999999999</v>
      </c>
      <c r="G6" s="35" t="n">
        <v>2.561</v>
      </c>
    </row>
    <row r="7">
      <c r="A7" s="9" t="inlineStr">
        <is>
          <t>Total revenue</t>
        </is>
      </c>
      <c r="B7" s="25">
        <f>B4+B5+B6</f>
        <v/>
      </c>
      <c r="C7" s="25">
        <f>C4+C5+C6</f>
        <v/>
      </c>
      <c r="D7" s="25">
        <f>D4+D5+D6</f>
        <v/>
      </c>
      <c r="E7" s="25">
        <f>E4+E5+E6</f>
        <v/>
      </c>
      <c r="F7" s="25">
        <f>F4+F5+F6</f>
        <v/>
      </c>
      <c r="G7" s="25">
        <f>G4+G5+G6</f>
        <v/>
      </c>
    </row>
    <row r="8">
      <c r="A8" s="5" t="inlineStr">
        <is>
          <t>Adjusted EBITDA</t>
        </is>
      </c>
      <c r="B8" s="35" t="n">
        <v>3.821</v>
      </c>
      <c r="C8" s="35" t="n">
        <v>5.35</v>
      </c>
      <c r="D8" s="35" t="n">
        <v>6.584</v>
      </c>
      <c r="E8" s="35" t="n">
        <v>1.214</v>
      </c>
      <c r="F8" s="35" t="n">
        <v>1.127</v>
      </c>
      <c r="G8" s="35" t="n">
        <v>3.538</v>
      </c>
    </row>
    <row r="9">
      <c r="A9" s="5" t="inlineStr">
        <is>
          <t>Income (loss) from operations</t>
        </is>
      </c>
      <c r="B9" s="35" t="n">
        <v>-3.505</v>
      </c>
      <c r="C9" s="35" t="n">
        <v>0.466</v>
      </c>
      <c r="D9" s="35" t="n">
        <v>-2.589</v>
      </c>
      <c r="E9" s="35" t="n">
        <v>-0.97</v>
      </c>
      <c r="F9" s="35" t="n">
        <v>-1.943</v>
      </c>
      <c r="G9" s="35" t="n">
        <v>-0.143</v>
      </c>
    </row>
    <row r="10">
      <c r="A10" s="5" t="inlineStr">
        <is>
          <t>Net income (loss)</t>
        </is>
      </c>
      <c r="B10" s="35" t="n">
        <v>-4.628</v>
      </c>
      <c r="C10" s="35" t="n">
        <v>0.791</v>
      </c>
      <c r="D10" s="35" t="n">
        <v>-4.937</v>
      </c>
      <c r="E10" s="35" t="n">
        <v>-1.008</v>
      </c>
      <c r="F10" s="35" t="n">
        <v>-4.276</v>
      </c>
      <c r="G10" s="35" t="n">
        <v>-0.541</v>
      </c>
    </row>
    <row r="11">
      <c r="A11" s="5" t="inlineStr">
        <is>
          <t>Capital expenditures</t>
        </is>
      </c>
      <c r="B11" s="35" t="n">
        <v>4.415</v>
      </c>
      <c r="C11" s="35" t="n">
        <v>11.163</v>
      </c>
      <c r="D11" s="35" t="n">
        <v>20.737</v>
      </c>
      <c r="E11" s="35" t="n">
        <v>2.825</v>
      </c>
      <c r="F11" s="35" t="n">
        <v>10.107</v>
      </c>
      <c r="G11" s="35" t="n">
        <v>18.369</v>
      </c>
    </row>
    <row r="12">
      <c r="A12" s="5" t="inlineStr">
        <is>
          <t>Operating cash flow</t>
        </is>
      </c>
      <c r="B12" s="35" t="n">
        <v>4.52</v>
      </c>
      <c r="C12" s="35" t="n">
        <v>5.776</v>
      </c>
      <c r="D12" s="35" t="n">
        <v>6.785</v>
      </c>
      <c r="E12" s="43" t="inlineStr">
        <is>
          <t>n/a</t>
        </is>
      </c>
      <c r="F12" s="35" t="n">
        <v>1.047</v>
      </c>
      <c r="G12" s="43" t="inlineStr">
        <is>
          <t>n/a</t>
        </is>
      </c>
    </row>
    <row r="13">
      <c r="A13" s="5" t="inlineStr">
        <is>
          <t>Starlink subscribers (mm)</t>
        </is>
      </c>
      <c r="B13" s="38" t="n">
        <v>2.3</v>
      </c>
      <c r="C13" s="38" t="n">
        <v>4.4</v>
      </c>
      <c r="D13" s="38" t="n">
        <v>8.9</v>
      </c>
      <c r="E13" s="38" t="n">
        <v>6</v>
      </c>
      <c r="F13" s="38" t="n">
        <v>10.3</v>
      </c>
      <c r="G13" s="38" t="n">
        <v>12</v>
      </c>
    </row>
    <row r="14">
      <c r="A14" s="5" t="inlineStr">
        <is>
          <t>Starlink ARPU ($/month)</t>
        </is>
      </c>
      <c r="B14" s="38" t="n">
        <v>99</v>
      </c>
      <c r="C14" s="38" t="n">
        <v>91</v>
      </c>
      <c r="D14" s="38" t="n">
        <v>81</v>
      </c>
      <c r="E14" s="38" t="n">
        <v>85</v>
      </c>
      <c r="F14" s="38" t="n">
        <v>66</v>
      </c>
      <c r="G14" s="38" t="n">
        <v>66</v>
      </c>
    </row>
    <row r="15">
      <c r="A15" s="5" t="inlineStr">
        <is>
          <t>AI nameplate compute (GW)</t>
        </is>
      </c>
      <c r="B15" s="38" t="n">
        <v>0</v>
      </c>
      <c r="C15" s="38" t="n">
        <v>0.3</v>
      </c>
      <c r="D15" s="38" t="n">
        <v>0.8</v>
      </c>
      <c r="E15" s="38" t="n">
        <v>0.4</v>
      </c>
      <c r="F15" s="38" t="n">
        <v>1</v>
      </c>
      <c r="G15" s="38" t="n">
        <v>1.4</v>
      </c>
    </row>
    <row r="18">
      <c r="A18" s="9" t="inlineStr">
        <is>
          <t>Sources</t>
        </is>
      </c>
    </row>
    <row r="19">
      <c r="A19" s="2" t="inlineStr">
        <is>
          <t>FY2023-FY2025: final prospectus (424B4), filed 2026-06-12, https://www.sec.gov/Archives/edgar/data/1181412/000162828026042639/</t>
        </is>
      </c>
    </row>
    <row r="20">
      <c r="A20" s="2" t="inlineStr">
        <is>
          <t>Quarters: Q2 2026 earnings release (8-K Ex. 99.1) and 10-Q, filed 2026-08-04, https://www.sec.gov/Archives/edgar/data/1181412/000162828026052515/ and /000162828026052535/</t>
        </is>
      </c>
    </row>
    <row r="21">
      <c r="A21" s="2" t="inlineStr">
        <is>
          <t>History is retrospectively combined with xAI and X (common-control mergers). Adjusted EBITDA excludes D&amp;A, stock comp, restructuring and impairments.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2026-10-16T20:42:31Z</dcterms:created>
  <dcterms:modified xmlns:dcterms="http://purl.org/dc/terms/" xmlns:xsi="http://www.w3.org/2001/XMLSchema-instance" xsi:type="dcterms:W3CDTF">2026-10-16T20:42:31Z</dcterms:modified>
</cp:coreProperties>
</file>